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1JWOqU+B+uJ3Pcp/JBxKfHzL+ZC7FBeDbts4gGGlTgg8c7ohNQXGAV8EkOa/K4NyIdsbzM17oZZzwJfMi1W2rA==" workbookSaltValue="XUuLqZdbD5YpQEqyGzXe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G10" i="8"/>
  <c r="BF9" i="8"/>
  <c r="AB13" i="21"/>
  <c r="AL16" i="11"/>
  <c r="C16" i="6"/>
  <c r="BE9" i="13"/>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P13" i="20"/>
  <c r="X12" i="16"/>
  <c r="AA11" i="16"/>
  <c r="X15" i="17"/>
  <c r="X12" i="17"/>
  <c r="AA16" i="16"/>
  <c r="S15" i="14"/>
  <c r="V15" i="14" s="1"/>
  <c r="R16" i="14"/>
  <c r="R10" i="14"/>
  <c r="S10" i="14"/>
  <c r="V10" i="14" s="1"/>
  <c r="X9" i="16"/>
  <c r="X19" i="16" s="1"/>
  <c r="X16" i="20"/>
  <c r="U10" i="21"/>
  <c r="T17" i="20"/>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BV13" i="16"/>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AL19" i="21"/>
  <c r="BF13" i="8"/>
  <c r="AL13" i="11"/>
  <c r="B13" i="6"/>
  <c r="P16" i="11"/>
  <c r="BV18" i="16"/>
  <c r="Q15" i="11"/>
  <c r="P17" i="11"/>
  <c r="BW21" i="20"/>
  <c r="BH18" i="11"/>
  <c r="BK13" i="11"/>
  <c r="BK19" i="11" s="1"/>
  <c r="Q10" i="11"/>
  <c r="X19" i="2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U20" i="16"/>
  <c r="AW20" i="21"/>
  <c r="L20" i="16"/>
  <c r="AL20" i="11"/>
  <c r="G20" i="12"/>
  <c r="F20" i="12"/>
  <c r="AC20" i="17"/>
  <c r="AZ20" i="11"/>
  <c r="BI20" i="16"/>
  <c r="AP20" i="21"/>
  <c r="AD20" i="11"/>
  <c r="AD20" i="21"/>
  <c r="BD20" i="16"/>
  <c r="AP20" i="17"/>
  <c r="AE20" i="21"/>
  <c r="BM20" i="16"/>
  <c r="X20" i="21"/>
  <c r="AE20" i="17"/>
  <c r="AT20" i="17"/>
  <c r="N20" i="11"/>
  <c r="AJ20" i="17"/>
  <c r="AR20" i="20"/>
  <c r="AD20" i="16"/>
  <c r="BK20" i="16"/>
  <c r="AR20" i="11"/>
  <c r="AN20" i="16"/>
  <c r="O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O20" i="11"/>
  <c r="X20" i="17"/>
  <c r="AK20" i="17"/>
  <c r="Q20" i="16"/>
  <c r="I20" i="12"/>
  <c r="AY20" i="21"/>
  <c r="E20" i="21"/>
  <c r="BC20" i="21"/>
  <c r="BD20" i="21"/>
  <c r="AZ20" i="16"/>
  <c r="V20" i="16"/>
  <c r="AU20" i="21"/>
  <c r="O20" i="21"/>
  <c r="H20" i="21"/>
  <c r="K20" i="16"/>
  <c r="J20" i="11"/>
  <c r="J20" i="17"/>
  <c r="S20" i="11"/>
  <c r="M20" i="21"/>
  <c r="F20" i="21"/>
  <c r="E20" i="16"/>
  <c r="P20" i="21"/>
  <c r="AJ20" i="16"/>
  <c r="AS20" i="11"/>
  <c r="L20" i="17"/>
  <c r="S20" i="17"/>
  <c r="E20" i="17"/>
  <c r="BE20" i="16"/>
  <c r="M20" i="11"/>
  <c r="J20" i="12"/>
  <c r="U20" i="11"/>
  <c r="AC20" i="11"/>
  <c r="AJ20" i="21"/>
  <c r="AB20" i="21"/>
  <c r="F20" i="16"/>
  <c r="AV20" i="11"/>
  <c r="K20" i="17"/>
  <c r="P20" i="11"/>
  <c r="AB20" i="16"/>
  <c r="BJ20" i="16"/>
  <c r="AL20" i="16"/>
  <c r="AO20" i="16"/>
  <c r="E20" i="11"/>
  <c r="AV20" i="17"/>
  <c r="L20" i="11"/>
  <c r="H20" i="16"/>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<sst xmlns="http://schemas.openxmlformats.org/spreadsheetml/2006/main" count="2074" uniqueCount="910">
  <si>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</si>
  <si>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</si>
  <si>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</si>
  <si>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</si>
  <si>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</si>
  <si>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</si>
  <si>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</si>
  <si>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</si>
  <si>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</si>
  <si>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</si>
  <si>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</si>
  <si>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</si>
  <si>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</si>
  <si>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</si>
  <si>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</si>
  <si>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</si>
  <si>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</si>
  <si>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</si>
  <si>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</si>
  <si>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</si>
  <si>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</si>
  <si>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</si>
  <si>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</si>
  <si>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</si>
  <si>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</si>
  <si>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</si>
  <si>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</si>
  <si>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</si>
  <si>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</si>
  <si>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</si>
  <si>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</si>
  <si>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</si>
  <si>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</si>
  <si>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</si>
  <si>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</si>
  <si>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</si>
  <si>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</si>
  <si>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</si>
  <si>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</si>
  <si>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</si>
  <si>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</si>
  <si>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</si>
  <si>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</si>
  <si>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</si>
  <si>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</si>
  <si>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</si>
  <si>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</si>
  <si>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</si>
  <si>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</si>
  <si>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</si>
  <si>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</si>
  <si>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</si>
  <si>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</si>
  <si>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</si>
  <si>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</si>
  <si>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</si>
  <si>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</si>
  <si>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</si>
  <si>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</si>
  <si>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</si>
  <si>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</si>
  <si>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</si>
  <si>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</si>
  <si>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</si>
  <si>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</si>
  <si>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</si>
  <si>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</si>
  <si>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</si>
  <si>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</si>
  <si>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</si>
  <si>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</si>
  <si>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</si>
  <si>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</si>
  <si>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</si>
  <si>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</si>
  <si>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</si>
  <si>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</si>
  <si>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</si>
  <si>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</si>
  <si>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</si>
  <si>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</si>
  <si>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</si>
  <si>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</si>
  <si>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</si>
  <si>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</si>
  <si>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</si>
  <si>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</si>
  <si>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</si>
  <si>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</si>
  <si>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</si>
  <si>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</si>
  <si>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</si>
  <si>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</si>
  <si>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</si>
  <si>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</si>
  <si>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</si>
  <si>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</si>
  <si>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</si>
  <si>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</si>
  <si>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</si>
  <si>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</si>
  <si>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</si>
  <si>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</si>
  <si>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</si>
  <si>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</si>
  <si>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</si>
  <si>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</si>
  <si>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</si>
  <si>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</si>
  <si>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</si>
  <si>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</si>
  <si>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</si>
  <si>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</si>
  <si>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</si>
  <si>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</si>
  <si>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</si>
  <si>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</si>
  <si>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</si>
  <si>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</si>
  <si>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</si>
  <si>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</si>
  <si>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</si>
  <si>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</si>
  <si>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</si>
  <si>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</si>
  <si>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</si>
  <si>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</si>
  <si>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</si>
  <si>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</si>
  <si>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</si>
  <si>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</si>
  <si>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</si>
  <si>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</si>
  <si>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</si>
  <si>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</si>
  <si>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</si>
  <si>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</si>
  <si>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</si>
  <si>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</si>
  <si>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</si>
  <si>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</si>
  <si>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</si>
  <si>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</si>
  <si>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</si>
  <si>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</si>
  <si>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</si>
  <si>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</si>
  <si>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</si>
  <si>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</si>
  <si>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</si>
  <si>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</si>
  <si>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</si>
  <si>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</si>
  <si>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</si>
  <si>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</si>
  <si>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</si>
  <si>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</si>
  <si>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</si>
  <si>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</si>
  <si>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</si>
  <si>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</si>
  <si>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</si>
  <si>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</si>
  <si>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</si>
  <si>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</si>
  <si>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</si>
  <si>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</si>
  <si>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</si>
  <si>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</si>
  <si>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</si>
  <si>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</si>
  <si>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</si>
  <si>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</si>
  <si>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</si>
  <si>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</si>
  <si>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</si>
  <si>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</si>
  <si>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</si>
  <si>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</si>
  <si>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</si>
  <si>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</si>
  <si>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</si>
  <si>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</si>
  <si>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</si>
  <si>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</si>
  <si>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</si>
  <si>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</si>
  <si>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</si>
  <si>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</si>
  <si>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</si>
  <si>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</si>
  <si>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</si>
  <si>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</si>
  <si>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</si>
  <si>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</si>
  <si>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</si>
  <si>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</si>
  <si>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</si>
  <si>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</si>
  <si>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</si>
  <si>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</si>
  <si>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</si>
  <si>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</si>
  <si>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</si>
  <si>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</si>
  <si>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</si>
  <si>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</si>
  <si>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</si>
  <si>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</si>
  <si>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</si>
  <si>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</si>
  <si>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</si>
  <si>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</si>
  <si>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</si>
  <si>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</si>
  <si>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</si>
  <si>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</si>
  <si>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</si>
  <si>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</si>
  <si>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</si>
  <si>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</si>
  <si>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</si>
  <si>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</si>
  <si>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</si>
  <si>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</si>
  <si>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</si>
  <si>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</si>
  <si>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</si>
  <si>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</si>
  <si>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</si>
  <si>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</si>
  <si>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</si>
  <si>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</si>
  <si>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</si>
  <si>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</si>
  <si>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</si>
  <si>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</si>
  <si>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</si>
  <si>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</si>
  <si>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</si>
  <si>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</si>
  <si>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</si>
  <si>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</si>
  <si>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</si>
  <si>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</si>
  <si>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</si>
  <si>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</si>
  <si>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</si>
  <si>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</si>
  <si>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</si>
  <si>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</si>
  <si>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</si>
  <si>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</si>
  <si>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</si>
  <si>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</si>
  <si>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</si>
  <si>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</si>
  <si>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</si>
  <si>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</si>
  <si>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</si>
  <si>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</si>
  <si>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</si>
  <si>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</si>
  <si>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</si>
  <si>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</si>
  <si>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</si>
  <si>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</si>
  <si>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</si>
  <si>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</si>
  <si>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</si>
  <si>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</si>
  <si>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</si>
  <si>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</si>
  <si>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</si>
  <si>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</si>
  <si>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</si>
  <si>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</si>
  <si>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</si>
  <si>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</si>
  <si>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</si>
  <si>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</si>
  <si>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</si>
  <si>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</si>
  <si>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</si>
  <si>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</si>
  <si>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</si>
  <si>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</si>
  <si>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</si>
  <si>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</si>
  <si>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</si>
  <si>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</si>
  <si>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</si>
  <si>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</si>
  <si>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</si>
  <si>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</si>
  <si>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</si>
  <si>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</si>
  <si>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</si>
  <si>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</si>
  <si>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</si>
  <si>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</si>
  <si>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</si>
  <si>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</si>
  <si>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</si>
  <si>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</si>
  <si>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</si>
  <si>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</si>
  <si>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</si>
  <si>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</si>
  <si>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</si>
  <si>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</si>
  <si>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</si>
  <si>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</si>
  <si>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</si>
  <si>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</si>
  <si>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</si>
  <si>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</si>
  <si>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</si>
  <si>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</si>
  <si>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</si>
  <si>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</si>
  <si>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</si>
  <si>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</si>
  <si>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</si>
  <si>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</si>
  <si>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</si>
  <si>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</si>
  <si>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</si>
  <si>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</si>
  <si>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</si>
  <si>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</si>
  <si>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</si>
  <si>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</si>
  <si>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</si>
  <si>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</si>
  <si>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</si>
  <si>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</si>
  <si>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</si>
  <si>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</si>
  <si>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</si>
  <si>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</si>
  <si>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</si>
  <si>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</si>
  <si>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</si>
  <si>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</si>
  <si>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</si>
  <si>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</si>
  <si>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</si>
  <si>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</si>
  <si>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</si>
  <si>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</si>
  <si>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</si>
  <si>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</si>
  <si>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</si>
  <si>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</si>
  <si>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</si>
  <si>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</si>
  <si>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</si>
  <si>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</si>
  <si>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</si>
  <si>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</si>
  <si>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</si>
  <si>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</si>
  <si>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</si>
  <si>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</si>
  <si>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</si>
  <si>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</si>
  <si>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</si>
  <si>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</si>
  <si>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</si>
  <si>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</si>
  <si>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</si>
  <si>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</si>
  <si>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</si>
  <si>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</si>
  <si>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</si>
  <si>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</si>
  <si>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</si>
  <si>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</si>
  <si>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</si>
  <si>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</si>
  <si>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</si>
  <si>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</si>
  <si>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</si>
  <si>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</si>
  <si>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</si>
  <si>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</si>
  <si>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</si>
  <si>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</si>
  <si>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</si>
  <si>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</si>
  <si>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</si>
  <si>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</si>
  <si>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</si>
  <si>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</si>
  <si>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</si>
  <si>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</si>
  <si>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</si>
  <si>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</si>
  <si>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</si>
  <si>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</si>
  <si>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</si>
  <si>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</si>
  <si>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</si>
  <si>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</si>
  <si>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</si>
  <si>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</si>
  <si>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</si>
  <si>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</si>
  <si>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</si>
  <si>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</si>
  <si>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</si>
  <si>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</si>
  <si>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</si>
  <si>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</si>
  <si>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</si>
  <si>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</si>
  <si>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</si>
  <si>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</si>
  <si>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</si>
  <si>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</si>
  <si>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</si>
  <si>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</si>
  <si>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</si>
  <si>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</si>
  <si>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</si>
  <si>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</si>
  <si>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</si>
  <si>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</si>
  <si>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</si>
  <si>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</si>
  <si>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</si>
  <si>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</si>
  <si>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</si>
  <si>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</si>
  <si>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</si>
  <si>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</si>
  <si>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</si>
  <si>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</si>
  <si>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</si>
  <si>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</si>
  <si>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</si>
  <si>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</si>
  <si>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</si>
  <si>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</si>
  <si>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</si>
  <si>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</si>
  <si>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</si>
  <si>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</si>
  <si>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</si>
  <si>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</si>
  <si>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</si>
  <si>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</si>
  <si>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</si>
  <si>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</si>
  <si>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</si>
  <si>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</si>
  <si>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</si>
  <si>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</si>
  <si>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</si>
  <si>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</si>
  <si>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</si>
  <si>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</si>
  <si>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</si>
  <si>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</si>
  <si>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</si>
  <si>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</si>
  <si>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</si>
  <si>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</si>
  <si>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</si>
  <si>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</si>
  <si>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</si>
  <si>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</si>
  <si>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</si>
  <si>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</si>
  <si>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</si>
  <si>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</si>
  <si>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</si>
  <si>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</si>
  <si>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</si>
  <si>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</si>
  <si>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</si>
  <si>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</si>
  <si>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</si>
  <si>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</si>
  <si>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</si>
  <si>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</si>
  <si>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</si>
  <si>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</si>
  <si>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</si>
  <si>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</si>
  <si>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</si>
  <si>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</si>
  <si>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</si>
  <si>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</si>
  <si>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</si>
  <si>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</si>
  <si>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</si>
  <si>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</si>
  <si>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</si>
  <si>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</si>
  <si>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</si>
  <si>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</si>
  <si>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</si>
  <si>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</si>
  <si>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</si>
  <si>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</si>
  <si>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</si>
  <si>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</si>
  <si>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</si>
  <si>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</si>
  <si>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</si>
  <si>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</si>
  <si>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</si>
  <si>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</si>
  <si>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</si>
  <si>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</si>
  <si>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</si>
  <si>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</si>
  <si>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</si>
  <si>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</si>
  <si>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</si>
  <si>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</si>
  <si>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</si>
  <si>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</si>
  <si>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</si>
  <si>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</si>
  <si>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</si>
  <si>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</si>
  <si>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</si>
  <si>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</si>
  <si>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</si>
  <si>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</si>
  <si>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</si>
  <si>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</si>
  <si>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</si>
  <si>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</si>
  <si>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</si>
  <si>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</si>
  <si>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</si>
  <si>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</si>
  <si>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</si>
  <si>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</si>
  <si>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</si>
  <si>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</si>
  <si>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</si>
  <si>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</si>
  <si>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</si>
  <si>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</si>
  <si>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</si>
  <si>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</si>
  <si>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</si>
  <si>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</si>
  <si>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</si>
  <si>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</si>
  <si>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</si>
  <si>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</si>
  <si>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</si>
  <si>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</si>
  <si>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</si>
  <si>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</si>
  <si>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</si>
  <si>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</si>
  <si>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</si>
  <si>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</si>
  <si>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</si>
  <si>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</si>
  <si>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</si>
  <si>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</si>
  <si>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</si>
  <si>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</si>
  <si>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</si>
  <si>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</si>
  <si>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</si>
  <si>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</si>
  <si>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</si>
  <si>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</si>
  <si>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</si>
  <si>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</si>
  <si>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</si>
  <si>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</si>
  <si>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</si>
  <si>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</si>
  <si>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</si>
  <si>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</si>
  <si>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</si>
  <si>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</si>
  <si>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</si>
  <si>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</si>
  <si>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</si>
  <si>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</si>
  <si>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</si>
  <si>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</si>
  <si>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</si>
  <si>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</si>
  <si>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</si>
  <si>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</si>
  <si>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</si>
  <si>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</si>
  <si>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</si>
  <si>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</si>
  <si>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</si>
  <si>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</si>
  <si>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</si>
  <si>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</si>
  <si>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</si>
  <si>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</si>
  <si>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</si>
  <si>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</si>
  <si>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</si>
  <si>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</si>
  <si>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</si>
  <si>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</si>
  <si>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</si>
  <si>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</si>
  <si>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</si>
  <si>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</si>
  <si>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</si>
  <si>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</si>
  <si>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</si>
  <si>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</si>
  <si>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</si>
  <si>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</si>
  <si>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</si>
  <si>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</si>
  <si>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</si>
  <si>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</si>
  <si>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</si>
  <si>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</si>
  <si>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</si>
  <si>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</si>
  <si>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</si>
  <si>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</si>
  <si>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</si>
  <si>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</si>
  <si>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</si>
  <si>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</si>
  <si>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</si>
  <si>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</si>
  <si>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</si>
  <si>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</si>
  <si>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</si>
  <si>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</si>
  <si>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</si>
  <si>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</si>
  <si>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</si>
  <si>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</si>
  <si>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</si>
  <si>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</si>
  <si>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</si>
  <si>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</si>
  <si>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</si>
  <si>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</si>
  <si>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</si>
  <si>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</si>
  <si>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</si>
  <si>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</si>
  <si>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</si>
  <si>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</si>
  <si>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</si>
  <si>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</si>
  <si>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</si>
  <si>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</si>
  <si>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</si>
  <si>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</si>
  <si>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</si>
  <si>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</si>
  <si>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</si>
  <si>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</si>
  <si>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</si>
  <si>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</si>
  <si>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</si>
  <si>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</si>
  <si>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</si>
  <si>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</si>
  <si>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</si>
  <si>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</si>
  <si>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</si>
  <si>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</si>
  <si>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</si>
  <si>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</si>
  <si>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</si>
  <si>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</si>
  <si>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</si>
  <si>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</si>
  <si>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</si>
  <si>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</si>
  <si>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</si>
  <si>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</si>
  <si>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</si>
  <si>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</si>
  <si>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</si>
  <si>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</si>
  <si>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</si>
  <si>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</si>
  <si>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</si>
  <si>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</si>
  <si>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</si>
  <si>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</si>
  <si>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</si>
  <si>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</si>
  <si>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</si>
  <si>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</si>
  <si>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</si>
  <si>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</si>
  <si>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</si>
  <si>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</si>
  <si>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</si>
  <si>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</si>
  <si>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</si>
  <si>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</si>
  <si>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</si>
  <si>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</si>
  <si>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</si>
  <si>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</si>
  <si>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</si>
  <si>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</si>
  <si>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</si>
  <si>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</si>
  <si>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</si>
  <si>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</si>
  <si>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</si>
  <si>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</si>
  <si>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</si>
  <si>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</si>
  <si>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</si>
  <si>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</si>
  <si>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</si>
  <si>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</si>
  <si>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</si>
  <si>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</si>
  <si>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</si>
  <si>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</si>
  <si>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</si>
  <si>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</si>
  <si>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</si>
  <si>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</si>
  <si>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</si>
  <si>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</si>
  <si>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</si>
  <si>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</si>
  <si>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</si>
  <si>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</si>
  <si>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</si>
  <si>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</si>
  <si>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</si>
  <si>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</si>
  <si>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</si>
  <si>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</si>
  <si>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</si>
  <si>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</si>
  <si>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</si>
  <si>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</si>
  <si>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</si>
  <si>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</si>
  <si>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</si>
  <si>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</si>
  <si>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</si>
  <si>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</si>
  <si>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</si>
  <si>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</si>
  <si>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</si>
  <si>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</si>
  <si>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</si>
  <si>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</si>
  <si>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</si>
  <si>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</si>
  <si>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</si>
  <si>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</si>
  <si>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</si>
  <si>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</si>
  <si>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</si>
  <si>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</si>
  <si>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</si>
  <si>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</si>
  <si>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</si>
  <si>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</si>
  <si>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</si>
  <si>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</si>
  <si>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</si>
  <si>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</si>
  <si>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</si>
  <si>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</si>
  <si>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</si>
  <si>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</si>
  <si>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</si>
  <si>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</si>
  <si>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</si>
  <si>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</si>
  <si>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</si>
  <si>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</si>
  <si>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</si>
  <si>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</si>
  <si>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</si>
  <si>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</si>
  <si>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</si>
  <si>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</si>
  <si>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</si>
  <si>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</si>
  <si>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</si>
  <si>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</si>
  <si>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</si>
  <si>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</si>
  <si>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</si>
  <si>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</si>
  <si>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</si>
  <si>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</si>
  <si>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</si>
  <si>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</si>
  <si>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</si>
  <si>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</si>
  <si>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</si>
  <si>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</si>
  <si>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</si>
  <si>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</si>
  <si>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</si>
  <si>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</si>
  <si>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</si>
  <si>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</si>
  <si>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</si>
  <si>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</si>
  <si>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</si>
  <si>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</si>
  <si>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</si>
  <si>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</si>
  <si>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</si>
  <si>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</si>
  <si>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</si>
  <si>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</si>
  <si>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</si>
  <si>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</si>
  <si>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</si>
  <si>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</si>
  <si>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</si>
  <si>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</si>
  <si>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</si>
  <si>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</si>
  <si>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</si>
  <si>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</si>
  <si>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</si>
  <si>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</si>
  <si>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</si>
  <si>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</si>
  <si>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</si>
  <si>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</si>
  <si>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</si>
  <si>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</si>
  <si>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</si>
  <si>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</si>
  <si>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</si>
  <si>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</si>
  <si>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</si>
  <si>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</si>
  <si>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</si>
  <si>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</si>
  <si>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</si>
  <si>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</si>
  <si>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</si>
  <si>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</si>
  <si>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</si>
  <si>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</si>
  <si>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</si>
  <si>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</si>
  <si>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</si>
  <si>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</si>
  <si>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</si>
  <si>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</si>
  <si>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</si>
  <si>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</si>
  <si>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</si>
  <si>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</si>
  <si>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</si>
  <si>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</si>
  <si>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</si>
  <si>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</si>
  <si>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</si>
  <si>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</si>
  <si>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</si>
  <si>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</si>
  <si>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</si>
  <si>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</si>
  <si>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</si>
  <si>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</si>
  <si>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</si>
  <si>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</si>
  <si>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</si>
  <si>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</si>
  <si>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</si>
  <si>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</si>
  <si>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</si>
  <si>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</si>
  <si>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</si>
  <si>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</si>
  <si>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</si>
  <si>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</si>
  <si>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</si>
  <si>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</si>
  <si>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</si>
  <si>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</si>
  <si>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</si>
  <si>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</si>
  <si>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</si>
  <si>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</si>
  <si>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</si>
  <si>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</si>
  <si>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</si>
  <si>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</si>
  <si>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</si>
  <si>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</si>
  <si>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BENIDORM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</si>
</sst>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dx5ekKdGHG7i1Rx+r7n+q63mFEOBG6F5nlBt6blriYpMfKLW5IXBxznzRL/neEk/NtL9P5WRJSUEhfbOkjjVg==" saltValue="Q7TTeQOs1cZoeqhCJu+W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BENIDORM</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5479</v>
      </c>
      <c r="D9" s="404">
        <f>IF(ISNUMBER(C9/Datos!BH9),C9/Datos!BH9," - ")</f>
        <v>1095.8</v>
      </c>
      <c r="E9" s="403">
        <f>IF(ISNUMBER(IF(J_V="SI",Datos!J9,Datos!J9+Datos!Z9)),IF(J_V="SI",Datos!J9,Datos!J9+Datos!Z9)," - ")</f>
        <v>2481</v>
      </c>
      <c r="F9" s="404">
        <f>IF(ISNUMBER(E9/B9),E9/B9," - ")</f>
        <v>496.2</v>
      </c>
      <c r="G9" s="403">
        <f>IF(ISNUMBER(IF(J_V="SI",Datos!K9,Datos!K9+Datos!AA9)),IF(J_V="SI",Datos!K9,Datos!K9+Datos!AA9)," - ")</f>
        <v>2057</v>
      </c>
      <c r="H9" s="404">
        <f>IF(ISNUMBER(G9/B9),G9/B9," - ")</f>
        <v>411.4</v>
      </c>
      <c r="I9" s="403">
        <f>IF(ISNUMBER(IF(J_V="SI",Datos!L9,Datos!L9+Datos!AB9)),IF(J_V="SI",Datos!L9,Datos!L9+Datos!AB9)," - ")</f>
        <v>5906</v>
      </c>
      <c r="J9" s="404">
        <f>IF(ISNUMBER(I9/B9),I9/B9," - ")</f>
        <v>1181.2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89</v>
      </c>
      <c r="D10" s="404">
        <f>IF(ISNUMBER(C10/Datos!BH10),C10/Datos!BH10," - ")</f>
        <v>89</v>
      </c>
      <c r="E10" s="403">
        <f>IF(ISNUMBER(Datos!J10),Datos!J10," - ")</f>
        <v>46</v>
      </c>
      <c r="F10" s="404">
        <f>IF(ISNUMBER(E10/B10),E10/B10," - ")</f>
        <v>46</v>
      </c>
      <c r="G10" s="403">
        <f>IF(ISNUMBER(Datos!K10),Datos!K10," - ")</f>
        <v>33</v>
      </c>
      <c r="H10" s="404">
        <f>IF(ISNUMBER(G10/B10),G10/B10," - ")</f>
        <v>33</v>
      </c>
      <c r="I10" s="403">
        <f>IF(ISNUMBER(Datos!L10),Datos!L10," - ")</f>
        <v>102</v>
      </c>
      <c r="J10" s="404">
        <f>IF(ISNUMBER(I10/B10),I10/B10," - ")</f>
        <v>102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5570</v>
      </c>
      <c r="D13" s="850" t="str">
        <f>IF(ISNUMBER(C13/Datos!BI13),C13/Datos!BI13," - ")</f>
        <v xml:space="preserve"> - </v>
      </c>
      <c r="E13" s="849">
        <f>SUBTOTAL(9,E8:E12)</f>
        <v>2527</v>
      </c>
      <c r="F13" s="850">
        <f>IF(ISNUMBER(E13/B13),E13/B13," - ")</f>
        <v>421.16666666666669</v>
      </c>
      <c r="G13" s="849">
        <f>SUBTOTAL(9,G8:G12)</f>
        <v>2090</v>
      </c>
      <c r="H13" s="850">
        <f>IF(ISNUMBER(G13/B13),G13/B13," - ")</f>
        <v>348.33333333333331</v>
      </c>
      <c r="I13" s="849">
        <f>SUBTOTAL(9,I8:I12)</f>
        <v>6010</v>
      </c>
      <c r="J13" s="850">
        <f>IF(ISNUMBER(I13/B13),I13/B13," - ")</f>
        <v>1001.6666666666666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2788</v>
      </c>
      <c r="D15" s="404">
        <f>IF(ISNUMBER(C15/Datos!BH15),C15/Datos!BH15," - ")</f>
        <v>697</v>
      </c>
      <c r="E15" s="403">
        <f>IF(ISNUMBER(IF(D_I="SI",Datos!J15,Datos!J15+Datos!AD15)),IF(D_I="SI",Datos!J15,Datos!J15+Datos!AD15)," - ")</f>
        <v>2156</v>
      </c>
      <c r="F15" s="404">
        <f>IF(ISNUMBER(E15/B15),E15/B15," - ")</f>
        <v>539</v>
      </c>
      <c r="G15" s="403">
        <f>IF(ISNUMBER(IF(D_I="SI",Datos!K15,Datos!K15+Datos!AE15)),IF(D_I="SI",Datos!K15,Datos!K15+Datos!AE15)," - ")</f>
        <v>2133</v>
      </c>
      <c r="H15" s="404">
        <f>IF(ISNUMBER(G15/B15),G15/B15," - ")</f>
        <v>533.25</v>
      </c>
      <c r="I15" s="403">
        <f>IF(ISNUMBER(IF(D_I="SI",Datos!L15,Datos!L15+Datos!AF15)),IF(D_I="SI",Datos!L15,Datos!L15+Datos!AF15)," - ")</f>
        <v>2837</v>
      </c>
      <c r="J15" s="404">
        <f>IF(ISNUMBER(I15/B15),I15/B15," - ")</f>
        <v>709.25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268</v>
      </c>
      <c r="D17" s="404">
        <f>IF(ISNUMBER(C17/Datos!BH17),C17/Datos!BH17," - ")</f>
        <v>268</v>
      </c>
      <c r="E17" s="403">
        <f>IF(ISNUMBER(IF(D_I="SI",Datos!J17,Datos!J17+Datos!AD17)),IF(D_I="SI",Datos!J17,Datos!J17+Datos!AD17)," - ")</f>
        <v>526</v>
      </c>
      <c r="F17" s="404">
        <f>IF(ISNUMBER(E17/B17),E17/B17," - ")</f>
        <v>526</v>
      </c>
      <c r="G17" s="403">
        <f>IF(ISNUMBER(IF(D_I="SI",Datos!K17,Datos!K17+Datos!AE17)),IF(D_I="SI",Datos!K17,Datos!K17+Datos!AE17)," - ")</f>
        <v>527</v>
      </c>
      <c r="H17" s="404">
        <f>IF(ISNUMBER(G17/B17),G17/B17," - ")</f>
        <v>527</v>
      </c>
      <c r="I17" s="403">
        <f>IF(ISNUMBER(IF(D_I="SI",Datos!L17,Datos!L17+Datos!AF17)),IF(D_I="SI",Datos!L17,Datos!L17+Datos!AF17)," - ")</f>
        <v>267</v>
      </c>
      <c r="J17" s="404">
        <f>IF(ISNUMBER(I17/B17),I17/B17," - ")</f>
        <v>267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3058</v>
      </c>
      <c r="D18" s="850" t="str">
        <f>IF(ISNUMBER(C18/Datos!BI18),C18/Datos!BI18," - ")</f>
        <v xml:space="preserve"> - </v>
      </c>
      <c r="E18" s="849">
        <f>SUBTOTAL(9,E14:E17)</f>
        <v>2682</v>
      </c>
      <c r="F18" s="850">
        <f>IF(ISNUMBER(E18/B18),E18/B18," - ")</f>
        <v>536.4</v>
      </c>
      <c r="G18" s="849">
        <f>SUBTOTAL(9,G14:G17)</f>
        <v>2660</v>
      </c>
      <c r="H18" s="850">
        <f>IF(ISNUMBER(G18/B18),G18/B18," - ")</f>
        <v>532</v>
      </c>
      <c r="I18" s="849">
        <f>SUBTOTAL(9,I14:I17)</f>
        <v>3106</v>
      </c>
      <c r="J18" s="850">
        <f>IF(ISNUMBER(I18/B18),I18/B18," - ")</f>
        <v>621.20000000000005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8628</v>
      </c>
      <c r="D19" s="795" t="str">
        <f>IF(ISNUMBER(C19/Datos!BI19),C19/Datos!BI19," - ")</f>
        <v xml:space="preserve"> - </v>
      </c>
      <c r="E19" s="794">
        <f>SUBTOTAL(9,E9:E18)</f>
        <v>5209</v>
      </c>
      <c r="F19" s="795">
        <f>IF(ISNUMBER(E19/B19),E19/B19," - ")</f>
        <v>520.9</v>
      </c>
      <c r="G19" s="794">
        <f>SUBTOTAL(9,G9:G18)</f>
        <v>4750</v>
      </c>
      <c r="H19" s="795">
        <f>IF(ISNUMBER(G19/B19),G19/B19," - ")</f>
        <v>475</v>
      </c>
      <c r="I19" s="794">
        <f>SUBTOTAL(9,I9:I18)</f>
        <v>9116</v>
      </c>
      <c r="J19" s="795">
        <f>IF(ISNUMBER(I19/B19),I19/B19," - ")</f>
        <v>911.6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YTyQ41atdVg3OBYYru/He3eDrS0B5Btf9RA0xN4d6r3WiDUzPwGFXa+er52FEKCLOQpo8wDAf7/2H5aumYNgg==" saltValue="17CrOc/4QORN2sZSSuCJ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BENIDORM</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YC6eLTGrp2I0joOKUC+f/shwIAG3lw0qLd8F7Jw5I9PQfxaBRCovJ+2M+iHfzJp/I96jxUvgC74DBPxIZAmA==" saltValue="hirP2YCJoJmAPa7LPXpv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BENIDORM</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499</v>
      </c>
      <c r="E9" s="404">
        <f t="shared" ref="E9:E13" si="0">IF(ISNUMBER(D9/B9),D9/B9," - ")</f>
        <v>99.8</v>
      </c>
      <c r="F9" s="403">
        <f>IF(ISNUMBER(Datos!N9),Datos!N9," - ")</f>
        <v>847</v>
      </c>
      <c r="G9" s="404">
        <f t="shared" ref="G9:G13" si="1">IF(ISNUMBER(F9/B9),F9/B9," - ")</f>
        <v>169.4</v>
      </c>
      <c r="H9" s="403">
        <f>IF(ISNUMBER(Datos!O9),Datos!O9," - ")</f>
        <v>1016</v>
      </c>
      <c r="I9" s="404">
        <f>IF(ISNUMBER(H9/B9),H9/B9," - ")</f>
        <v>203.2</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10</v>
      </c>
      <c r="G10" s="404">
        <f>IF(ISNUMBER(F10/B10),F10/B10," - ")</f>
        <v>10</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2</v>
      </c>
      <c r="I12" s="404" t="str">
        <f t="shared" si="2"/>
        <v xml:space="preserve"> - </v>
      </c>
      <c r="BZ12" s="1186">
        <f>Datos!EZ12</f>
        <v>0</v>
      </c>
    </row>
    <row r="13" spans="1:78" ht="14.25" thickTop="1" thickBot="1">
      <c r="A13" s="848" t="str">
        <f>Datos!A13</f>
        <v>TOTAL</v>
      </c>
      <c r="B13" s="849">
        <f>Datos!AP13</f>
        <v>6</v>
      </c>
      <c r="C13" s="851">
        <f>Datos!AR13</f>
        <v>6</v>
      </c>
      <c r="D13" s="849">
        <f>SUBTOTAL(9,D9:D12)</f>
        <v>510</v>
      </c>
      <c r="E13" s="850">
        <f t="shared" si="0"/>
        <v>85</v>
      </c>
      <c r="F13" s="849">
        <f>SUBTOTAL(9,F9:F12)</f>
        <v>858</v>
      </c>
      <c r="G13" s="850">
        <f t="shared" si="1"/>
        <v>143</v>
      </c>
      <c r="H13" s="849">
        <f>SUBTOTAL(9,H9:H12)</f>
        <v>1032</v>
      </c>
      <c r="I13" s="850">
        <f>IF(ISNUMBER(H13/B13),H13/B13," - ")</f>
        <v>172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359</v>
      </c>
      <c r="E15" s="404">
        <f t="shared" ref="E15:E18" si="3">IF(ISNUMBER(D15/B15),D15/B15," - ")</f>
        <v>89.75</v>
      </c>
      <c r="F15" s="403">
        <f>IF(ISNUMBER(Datos!N15),Datos!N15," - ")</f>
        <v>1058</v>
      </c>
      <c r="G15" s="404">
        <f t="shared" ref="G15:G18" si="4">IF(ISNUMBER(F15/B15),F15/B15," - ")</f>
        <v>264.5</v>
      </c>
      <c r="H15" s="403">
        <f>IF(ISNUMBER(Datos!O15),Datos!O15," - ")</f>
        <v>65</v>
      </c>
      <c r="I15" s="404">
        <f t="shared" ref="I15:I17" si="5">IF(ISNUMBER(H15/B15),H15/B15," - ")</f>
        <v>16.25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68</v>
      </c>
      <c r="E17" s="404">
        <f>IF(ISNUMBER(D17/B17),D17/B17," - ")</f>
        <v>68</v>
      </c>
      <c r="F17" s="403">
        <f>IF(ISNUMBER(Datos!N17),Datos!N17," - ")</f>
        <v>212</v>
      </c>
      <c r="G17" s="404">
        <f>IF(ISNUMBER(F17/B17),F17/B17," - ")</f>
        <v>212</v>
      </c>
      <c r="H17" s="403">
        <f>IF(ISNUMBER(Datos!O17),Datos!O17," - ")</f>
        <v>6</v>
      </c>
      <c r="I17" s="404">
        <f t="shared" si="5"/>
        <v>6</v>
      </c>
      <c r="BZ17" s="1186">
        <f>Datos!EZ17</f>
        <v>0</v>
      </c>
    </row>
    <row r="18" spans="1:78" ht="14.25" thickTop="1" thickBot="1">
      <c r="A18" s="848" t="str">
        <f>Datos!A18</f>
        <v>TOTAL</v>
      </c>
      <c r="B18" s="849">
        <f>Datos!AP18</f>
        <v>5</v>
      </c>
      <c r="C18" s="851">
        <f>Datos!AR18</f>
        <v>5</v>
      </c>
      <c r="D18" s="849">
        <f>SUBTOTAL(9,D15:D17)</f>
        <v>427</v>
      </c>
      <c r="E18" s="850">
        <f t="shared" si="3"/>
        <v>85.4</v>
      </c>
      <c r="F18" s="849">
        <f>SUBTOTAL(9,F15:F17)</f>
        <v>1270</v>
      </c>
      <c r="G18" s="850">
        <f t="shared" si="4"/>
        <v>254</v>
      </c>
      <c r="H18" s="849">
        <f>SUBTOTAL(9,H15:H17)</f>
        <v>71</v>
      </c>
      <c r="I18" s="850">
        <f>IF(ISNUMBER(H18/B18),H18/B18," - ")</f>
        <v>14.2</v>
      </c>
      <c r="BZ18" s="1186"/>
    </row>
    <row r="19" spans="1:78" ht="14.25" thickTop="1" thickBot="1">
      <c r="A19" s="793" t="str">
        <f>Datos!A19</f>
        <v>TOTAL JURISDICCIONES</v>
      </c>
      <c r="B19" s="794">
        <f>Datos!AP19</f>
        <v>10</v>
      </c>
      <c r="C19" s="794">
        <f>Datos!AR19</f>
        <v>10</v>
      </c>
      <c r="D19" s="794">
        <f>SUBTOTAL(9,D8:D18)</f>
        <v>937</v>
      </c>
      <c r="E19" s="795">
        <f>IF(ISNUMBER(D19/B19),D19/B19," - ")</f>
        <v>93.7</v>
      </c>
      <c r="F19" s="794">
        <f>SUBTOTAL(9,F8:F18)</f>
        <v>2128</v>
      </c>
      <c r="G19" s="795">
        <f>IF(ISNUMBER(F19/B19),F19/B19," - ")</f>
        <v>212.8</v>
      </c>
      <c r="H19" s="794">
        <f>SUBTOTAL(9,H8:H18)</f>
        <v>1103</v>
      </c>
      <c r="I19" s="795">
        <f>IF(ISNUMBER(H19/B19),H19/B19," - ")</f>
        <v>110.3</v>
      </c>
    </row>
    <row r="22" spans="1:78">
      <c r="A22" s="391" t="str">
        <f>Criterios!A4</f>
        <v>Fecha Informe: 24 sep. 2024</v>
      </c>
    </row>
    <row r="27" spans="1:78">
      <c r="A27" s="414"/>
    </row>
  </sheetData>
  <sheetProtection algorithmName="SHA-512" hashValue="fsBA6eZ71HDku35677nUAdlo/jf00l3gHvkSck6jrHfqJFVxeiKe9EmVvTymaaH8qmBVgCjdIxH0LWMGXd1Tyw==" saltValue="XqmC9I7R8oKbGKU0b0RO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BENIDORM</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766</v>
      </c>
      <c r="C9" s="434">
        <f>IF(ISNUMBER(Datos!Q9),Datos!Q9," - ")</f>
        <v>588</v>
      </c>
      <c r="D9" s="408">
        <f>IF(ISNUMBER(Datos!R9),Datos!R9," - ")</f>
        <v>6784</v>
      </c>
    </row>
    <row r="10" spans="1:4">
      <c r="A10" s="402" t="str">
        <f>Datos!A10</f>
        <v>Jdos. Violencia contra la mujer</v>
      </c>
      <c r="B10" s="433">
        <f>IF(ISNUMBER(Datos!P10),Datos!P10," - ")</f>
        <v>3</v>
      </c>
      <c r="C10" s="434">
        <f>IF(ISNUMBER(Datos!Q10),Datos!Q10," - ")</f>
        <v>5</v>
      </c>
      <c r="D10" s="408">
        <f>IF(ISNUMBER(Datos!R10),Datos!R10," - ")</f>
        <v>49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v>
      </c>
      <c r="C12" s="434">
        <f>IF(ISNUMBER(Datos!Q12),Datos!Q12," - ")</f>
        <v>3</v>
      </c>
      <c r="D12" s="408">
        <f>IF(ISNUMBER(Datos!R12),Datos!R12," - ")</f>
        <v>30</v>
      </c>
    </row>
    <row r="13" spans="1:4" ht="14.25" thickTop="1" thickBot="1">
      <c r="A13" s="848" t="str">
        <f>Datos!A13</f>
        <v>TOTAL</v>
      </c>
      <c r="B13" s="849">
        <f>SUBTOTAL(9,B9:B12)</f>
        <v>771</v>
      </c>
      <c r="C13" s="853">
        <f>SUBTOTAL(9,C9:C12)</f>
        <v>596</v>
      </c>
      <c r="D13" s="851">
        <f>SUBTOTAL(9,D9:D12)</f>
        <v>6863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95</v>
      </c>
      <c r="C15" s="434">
        <f>IF(ISNUMBER(Datos!Q15),Datos!Q15," - ")</f>
        <v>154</v>
      </c>
      <c r="D15" s="408">
        <f>IF(ISNUMBER(Datos!R15),Datos!R15," - ")</f>
        <v>302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3</v>
      </c>
      <c r="C17" s="434">
        <f>IF(ISNUMBER(Datos!Q17),Datos!Q17," - ")</f>
        <v>6</v>
      </c>
      <c r="D17" s="408">
        <f>IF(ISNUMBER(Datos!R17),Datos!R17," - ")</f>
        <v>4</v>
      </c>
    </row>
    <row r="18" spans="1:4" ht="14.25" thickTop="1" thickBot="1">
      <c r="A18" s="848" t="str">
        <f>Datos!A18</f>
        <v>TOTAL</v>
      </c>
      <c r="B18" s="849">
        <f>SUBTOTAL(9,B15:B17)</f>
        <v>98</v>
      </c>
      <c r="C18" s="853">
        <f>SUBTOTAL(9,C15:C17)</f>
        <v>160</v>
      </c>
      <c r="D18" s="851">
        <f>SUBTOTAL(9,D15:D17)</f>
        <v>306</v>
      </c>
    </row>
    <row r="19" spans="1:4" ht="16.5" customHeight="1" thickTop="1" thickBot="1">
      <c r="A19" s="793" t="str">
        <f>Datos!A19</f>
        <v>TOTAL JURISDICCIONES</v>
      </c>
      <c r="B19" s="798">
        <f>SUBTOTAL(9,B8:B18)</f>
        <v>869</v>
      </c>
      <c r="C19" s="799">
        <f>SUBTOTAL(9,C8:C18)</f>
        <v>756</v>
      </c>
      <c r="D19" s="800">
        <f>SUBTOTAL(9,D8:D18)</f>
        <v>7169</v>
      </c>
    </row>
    <row r="20" spans="1:4" ht="7.5" customHeight="1"/>
    <row r="21" spans="1:4" ht="6" customHeight="1"/>
    <row r="22" spans="1:4">
      <c r="A22" s="391" t="str">
        <f>Criterios!A4</f>
        <v>Fecha Informe: 24 sep. 2024</v>
      </c>
    </row>
    <row r="27" spans="1:4">
      <c r="A27" s="414"/>
    </row>
  </sheetData>
  <sheetProtection algorithmName="SHA-512" hashValue="DlXWLdkZmDr8pC3IdlxU+h/j3kpQpNaGt4kAIlwvHr6QYaVnTfkSi9RTvw8Al8AiaFAMj1YkYdHVv5spzsYwSw==" saltValue="1LgDnhV+EmDNV1PmBjgT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BENIDORM</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0.11656816792337477</v>
      </c>
      <c r="C9" s="456">
        <f>IF(ISNUMBER(
   IF(J_V="SI",(Datos!J9-Datos!T9)/Datos!T9,(Datos!J9+Datos!Z9-(Datos!T9+Datos!AH9))/(Datos!T9+Datos!AH9))
     ),IF(J_V="SI",(Datos!J9-Datos!T9)/Datos!T9,(Datos!J9+Datos!Z9-(Datos!T9+Datos!AH9))/(Datos!T9+Datos!AH9))," - ")</f>
        <v>-3.2371294851794075E-2</v>
      </c>
      <c r="D9" s="456">
        <f>IF(ISNUMBER(
   IF(J_V="SI",(Datos!K9-Datos!U9)/Datos!U9,(Datos!K9+Datos!AA9-(Datos!U9+Datos!AI9))/(Datos!U9+Datos!AI9))
     ),IF(J_V="SI",(Datos!K9-Datos!U9)/Datos!U9,(Datos!K9+Datos!AA9-(Datos!U9+Datos!AI9))/(Datos!U9+Datos!AI9))," - ")</f>
        <v>-0.17949740725967292</v>
      </c>
      <c r="E9" s="456">
        <f>IF(ISNUMBER(
   IF(J_V="SI",(Datos!L9-Datos!V9)/Datos!V9,(Datos!L9+Datos!AB9-(Datos!V9+Datos!AJ9))/(Datos!V9+Datos!AJ9))
     ),IF(J_V="SI",(Datos!L9-Datos!V9)/Datos!V9,(Datos!L9+Datos!AB9-(Datos!V9+Datos!AJ9))/(Datos!V9+Datos!AJ9))," - ")</f>
        <v>0.18976631748589848</v>
      </c>
      <c r="F9" s="456">
        <f>IF(ISNUMBER((Datos!M9-Datos!W9)/Datos!W9),(Datos!M9-Datos!W9)/Datos!W9," - ")</f>
        <v>0.12134831460674157</v>
      </c>
      <c r="G9" s="457">
        <f>IF(ISNUMBER((Datos!N9-Datos!X9)/Datos!X9),(Datos!N9-Datos!X9)/Datos!X9," - ")</f>
        <v>-0.25896762904636922</v>
      </c>
      <c r="H9" s="455">
        <f>IF(ISNUMBER(((NºAsuntos!G9/NºAsuntos!E9)-Datos!BD9)/Datos!BD9),((NºAsuntos!G9/NºAsuntos!E9)-Datos!BD9)/Datos!BD9," - ")</f>
        <v>-0.15204810649488168</v>
      </c>
      <c r="I9" s="456">
        <f>IF(ISNUMBER(((NºAsuntos!I9/NºAsuntos!G9)-Datos!BE9)/Datos!BE9),((NºAsuntos!I9/NºAsuntos!G9)-Datos!BE9)/Datos!BE9," - ")</f>
        <v>0.45004577439822435</v>
      </c>
      <c r="J9" s="461">
        <f>IF(ISNUMBER((('Resol  Asuntos'!D9/NºAsuntos!G9)-Datos!BF9)/Datos!BF9),(('Resol  Asuntos'!D9/NºAsuntos!G9)-Datos!BF9)/Datos!BF9," - ")</f>
        <v>-0.46792315763640868</v>
      </c>
      <c r="K9" s="462">
        <f>IF(ISNUMBER((((NºAsuntos!C9+NºAsuntos!E9)/NºAsuntos!G9)-Datos!BG9)/Datos!BG9),(((NºAsuntos!C9+NºAsuntos!E9)/NºAsuntos!G9)-Datos!BG9)/Datos!BG9," - ")</f>
        <v>0.29853713405657933</v>
      </c>
    </row>
    <row r="10" spans="1:11">
      <c r="A10" s="402" t="str">
        <f>Datos!A10</f>
        <v>Jdos. Violencia contra la mujer</v>
      </c>
      <c r="B10" s="455">
        <f>IF(ISNUMBER((Datos!I10-Datos!S10)/Datos!S10),(Datos!I10-Datos!S10)/Datos!S10," - ")</f>
        <v>0.74509803921568629</v>
      </c>
      <c r="C10" s="456">
        <f>IF(ISNUMBER((Datos!J10-Datos!T10)/Datos!T10),(Datos!J10-Datos!T10)/Datos!T10," - ")</f>
        <v>0.53333333333333333</v>
      </c>
      <c r="D10" s="456">
        <f>IF(ISNUMBER((Datos!K10-Datos!U10)/Datos!U10),(Datos!K10-Datos!U10)/Datos!U10," - ")</f>
        <v>0.13793103448275862</v>
      </c>
      <c r="E10" s="456">
        <f>IF(ISNUMBER((Datos!L10-Datos!V10)/Datos!V10),(Datos!L10-Datos!V10)/Datos!V10," - ")</f>
        <v>0.96153846153846156</v>
      </c>
      <c r="F10" s="456">
        <f>IF(ISNUMBER((Datos!M10-Datos!W10)/Datos!W10),(Datos!M10-Datos!W10)/Datos!W10," - ")</f>
        <v>-0.21428571428571427</v>
      </c>
      <c r="G10" s="457">
        <f>IF(ISNUMBER((Datos!N10-Datos!X10)/Datos!X10),(Datos!N10-Datos!X10)/Datos!X10," - ")</f>
        <v>0.1111111111111111</v>
      </c>
      <c r="H10" s="455">
        <f>IF(ISNUMBER(((NºAsuntos!G10/NºAsuntos!E10)-Datos!BD10)/Datos!BD10),((NºAsuntos!G10/NºAsuntos!E10)-Datos!BD10)/Datos!BD10," - ")</f>
        <v>-0.25787106446776614</v>
      </c>
      <c r="I10" s="456">
        <f>IF(ISNUMBER(((NºAsuntos!I10/NºAsuntos!G10)-Datos!BE10)/Datos!BE10),((NºAsuntos!I10/NºAsuntos!G10)-Datos!BE10)/Datos!BE10," - ")</f>
        <v>0.72377622377622375</v>
      </c>
      <c r="J10" s="461">
        <f>IF(ISNUMBER((('Resol  Asuntos'!D10/NºAsuntos!G10)-Datos!BF10)/Datos!BF10),(('Resol  Asuntos'!D10/NºAsuntos!G10)-Datos!BF10)/Datos!BF10," - ")</f>
        <v>-0.30952380952380959</v>
      </c>
      <c r="K10" s="462">
        <f>IF(ISNUMBER((((NºAsuntos!C10+NºAsuntos!E10)/NºAsuntos!G10)-Datos!BG10)/Datos!BG10),(((NºAsuntos!C10+NºAsuntos!E10)/NºAsuntos!G10)-Datos!BG10)/Datos!BG10," - ")</f>
        <v>0.46464646464646459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0.12298387096774194</v>
      </c>
      <c r="C13" s="855">
        <f>IF(ISNUMBER(
   IF(J_V="SI",(Datos!J13-Datos!T13)/Datos!T13,(Datos!J13+Datos!Z13-(Datos!T13+Datos!AH13))/(Datos!T13+Datos!AH13))
     ),IF(J_V="SI",(Datos!J13-Datos!T13)/Datos!T13,(Datos!J13+Datos!Z13-(Datos!T13+Datos!AH13))/(Datos!T13+Datos!AH13))," - ")</f>
        <v>-2.5828835774865073E-2</v>
      </c>
      <c r="D13" s="855">
        <f>IF(ISNUMBER(
   IF(J_V="SI",(Datos!K13-Datos!U13)/Datos!U13,(Datos!K13+Datos!AA13-(Datos!U13+Datos!AI13))/(Datos!U13+Datos!AI13))
     ),IF(J_V="SI",(Datos!K13-Datos!U13)/Datos!U13,(Datos!K13+Datos!AA13-(Datos!U13+Datos!AI13))/(Datos!U13+Datos!AI13))," - ")</f>
        <v>-0.17586750788643532</v>
      </c>
      <c r="E13" s="855">
        <f>IF(ISNUMBER(
   IF(J_V="SI",(Datos!L13-Datos!V13)/Datos!V13,(Datos!L13+Datos!AB13-(Datos!V13+Datos!AJ13))/(Datos!V13+Datos!AJ13))
     ),IF(J_V="SI",(Datos!L13-Datos!V13)/Datos!V13,(Datos!L13+Datos!AB13-(Datos!V13+Datos!AJ13))/(Datos!V13+Datos!AJ13))," - ")</f>
        <v>0.19768832204065365</v>
      </c>
      <c r="F13" s="856">
        <f>IF(ISNUMBER((Datos!M13-Datos!W13)/Datos!W13),(Datos!M13-Datos!W13)/Datos!W13," - ")</f>
        <v>0.1111111111111111</v>
      </c>
      <c r="G13" s="857">
        <f>IF(ISNUMBER((Datos!N13-Datos!X13)/Datos!X13),(Datos!N13-Datos!X13)/Datos!X13," - ")</f>
        <v>-0.25520833333333331</v>
      </c>
      <c r="H13" s="857">
        <f>IF(ISNUMBER(((NºAsuntos!G13/NºAsuntos!E13)-Datos!BD13)/Datos!BD13),((NºAsuntos!G13/NºAsuntos!E13)-Datos!BD13)/Datos!BD13," - ")</f>
        <v>-0.15401674533336504</v>
      </c>
      <c r="I13" s="857">
        <f>IF(ISNUMBER(((NºAsuntos!I13/NºAsuntos!G13)-Datos!BE13)/Datos!BE13),((NºAsuntos!I13/NºAsuntos!G13)-Datos!BE13)/Datos!BE13," - ")</f>
        <v>0.4532715716244487</v>
      </c>
      <c r="J13" s="857">
        <f>IF(ISNUMBER((('Resol  Asuntos'!D13/NºAsuntos!G13)-Datos!BF13)/Datos!BF13),(('Resol  Asuntos'!D13/NºAsuntos!G13)-Datos!BF13)/Datos!BF13," - ")</f>
        <v>-0.46514041842250003</v>
      </c>
      <c r="K13" s="857">
        <f>IF(ISNUMBER((((NºAsuntos!C13+NºAsuntos!E13)/NºAsuntos!G13)-Datos!BG13)/Datos!BG13),(((NºAsuntos!C13+NºAsuntos!E13)/NºAsuntos!G13)-Datos!BG13)/Datos!BG13," - ")</f>
        <v>0.30061908327031034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0.19298245614035087</v>
      </c>
      <c r="C15" s="456">
        <f>IF(ISNUMBER(
   IF(D_I="SI",(Datos!J15-Datos!T15)/Datos!T15,(Datos!J15+Datos!AD15-(Datos!T15+Datos!AL15))/(Datos!T15+Datos!AL15))
     ),IF(D_I="SI",(Datos!J15-Datos!T15)/Datos!T15,(Datos!J15+Datos!AD15-(Datos!T15+Datos!AL15))/(Datos!T15+Datos!AL15))," - ")</f>
        <v>0.13057157839538541</v>
      </c>
      <c r="D15" s="456">
        <f>IF(ISNUMBER(
   IF(D_I="SI",(Datos!K15-Datos!U15)/Datos!U15,(Datos!K15+Datos!AE15-(Datos!U15+Datos!AM15))/(Datos!U15+Datos!AM15))
     ),IF(D_I="SI",(Datos!K15-Datos!U15)/Datos!U15,(Datos!K15+Datos!AE15-(Datos!U15+Datos!AM15))/(Datos!U15+Datos!AM15))," - ")</f>
        <v>0.1000515729757607</v>
      </c>
      <c r="E15" s="456">
        <f>IF(ISNUMBER(
   IF(D_I="SI",(Datos!L15-Datos!V15)/Datos!V15,(Datos!L15+Datos!AF15-(Datos!V15+Datos!AN15))/(Datos!V15+Datos!AN15))
     ),IF(D_I="SI",(Datos!L15-Datos!V15)/Datos!V15,(Datos!L15+Datos!AF15-(Datos!V15+Datos!AN15))/(Datos!V15+Datos!AN15))," - ")</f>
        <v>0.21135781383432964</v>
      </c>
      <c r="F15" s="456">
        <f>IF(ISNUMBER((Datos!M15-Datos!W15)/Datos!W15),(Datos!M15-Datos!W15)/Datos!W15," - ")</f>
        <v>0.33457249070631973</v>
      </c>
      <c r="G15" s="457">
        <f>IF(ISNUMBER((Datos!N15-Datos!X15)/Datos!X15),(Datos!N15-Datos!X15)/Datos!X15," - ")</f>
        <v>-0.10566356720202874</v>
      </c>
      <c r="H15" s="455">
        <f>IF(ISNUMBER(((NºAsuntos!G15/NºAsuntos!E15)-Datos!BD15)/Datos!BD15),((NºAsuntos!G15/NºAsuntos!E15)-Datos!BD15)/Datos!BD15," - ")</f>
        <v>-2.6995199598898244E-2</v>
      </c>
      <c r="I15" s="456">
        <f>IF(ISNUMBER(((NºAsuntos!I15/NºAsuntos!G15)-Datos!BE15)/Datos!BE15),((NºAsuntos!I15/NºAsuntos!G15)-Datos!BE15)/Datos!BE15," - ")</f>
        <v>0.10118274778470007</v>
      </c>
      <c r="J15" s="461">
        <f>IF(ISNUMBER((('Resol  Asuntos'!D15/NºAsuntos!G15)-Datos!BF15)/Datos!BF15),(('Resol  Asuntos'!D15/NºAsuntos!G15)-Datos!BF15)/Datos!BF15," - ")</f>
        <v>0.21319083894962668</v>
      </c>
      <c r="K15" s="462">
        <f>IF(ISNUMBER((((NºAsuntos!C15+NºAsuntos!E15)/NºAsuntos!G15)-Datos!BG15)/Datos!BG15),(((NºAsuntos!C15+NºAsuntos!E15)/NºAsuntos!G15)-Datos!BG15)/Datos!BG15," - ")</f>
        <v>5.898556545784496E-2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1.0615384615384615</v>
      </c>
      <c r="C17" s="456">
        <f>IF(ISNUMBER(
   IF(D_I="SI",(Datos!J17-Datos!T17)/Datos!T17,(Datos!J17+Datos!AD17-(Datos!T17+Datos!AL17))/(Datos!T17+Datos!AL17))
     ),IF(D_I="SI",(Datos!J17-Datos!T17)/Datos!T17,(Datos!J17+Datos!AD17-(Datos!T17+Datos!AL17))/(Datos!T17+Datos!AL17))," - ")</f>
        <v>0.21478060046189376</v>
      </c>
      <c r="D17" s="456">
        <f>IF(ISNUMBER(
   IF(D_I="SI",(Datos!K17-Datos!U17)/Datos!U17,(Datos!K17+Datos!AE17-(Datos!U17+Datos!AM17))/(Datos!U17+Datos!AM17))
     ),IF(D_I="SI",(Datos!K17-Datos!U17)/Datos!U17,(Datos!K17+Datos!AE17-(Datos!U17+Datos!AM17))/(Datos!U17+Datos!AM17))," - ")</f>
        <v>0.29166666666666669</v>
      </c>
      <c r="E17" s="456">
        <f>IF(ISNUMBER(
   IF(D_I="SI",(Datos!L17-Datos!V17)/Datos!V17,(Datos!L17+Datos!AF17-(Datos!V17+Datos!AN17))/(Datos!V17+Datos!AN17))
     ),IF(D_I="SI",(Datos!L17-Datos!V17)/Datos!V17,(Datos!L17+Datos!AF17-(Datos!V17+Datos!AN17))/(Datos!V17+Datos!AN17))," - ")</f>
        <v>0.72258064516129028</v>
      </c>
      <c r="F17" s="456">
        <f>IF(ISNUMBER((Datos!M17-Datos!W17)/Datos!W17),(Datos!M17-Datos!W17)/Datos!W17," - ")</f>
        <v>4.6153846153846156E-2</v>
      </c>
      <c r="G17" s="457">
        <f>IF(ISNUMBER((Datos!N17-Datos!X17)/Datos!X17),(Datos!N17-Datos!X17)/Datos!X17," - ")</f>
        <v>0.17777777777777778</v>
      </c>
      <c r="H17" s="455">
        <f>IF(ISNUMBER(((NºAsuntos!G17/NºAsuntos!E17)-Datos!BD17)/Datos!BD17),((NºAsuntos!G17/NºAsuntos!E17)-Datos!BD17)/Datos!BD17," - ")</f>
        <v>6.3292141951837799E-2</v>
      </c>
      <c r="I17" s="456">
        <f>IF(ISNUMBER(((NºAsuntos!I17/NºAsuntos!G17)-Datos!BE17)/Datos!BE17),((NºAsuntos!I17/NºAsuntos!G17)-Datos!BE17)/Datos!BE17," - ")</f>
        <v>0.33361082206035375</v>
      </c>
      <c r="J17" s="461">
        <f>IF(ISNUMBER((('Resol  Asuntos'!D17/NºAsuntos!G17)-Datos!BF17)/Datos!BF17),(('Resol  Asuntos'!D17/NºAsuntos!G17)-Datos!BF17)/Datos!BF17," - ")</f>
        <v>-0.19007444168734489</v>
      </c>
      <c r="K17" s="462">
        <f>IF(ISNUMBER((((NºAsuntos!C17+NºAsuntos!E17)/NºAsuntos!G17)-Datos!BG17)/Datos!BG17),(((NºAsuntos!C17+NºAsuntos!E17)/NºAsuntos!G17)-Datos!BG17)/Datos!BG17," - ")</f>
        <v>9.1846673924253691E-2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0.23855812069663831</v>
      </c>
      <c r="C18" s="855">
        <f>IF(ISNUMBER(
   IF(Criterios!B14="SI",(Datos!J18-Datos!T18)/Datos!T18,(Datos!J18+Datos!AD18-(Datos!T18+Datos!AL18))/(Datos!T18+Datos!AL18))
     ),IF(Criterios!B14="SI",(Datos!J18-Datos!T18)/Datos!T18,(Datos!J18+Datos!AD18-(Datos!T18+Datos!AL18))/(Datos!T18+Datos!AL18))," - ")</f>
        <v>0.14615384615384616</v>
      </c>
      <c r="D18" s="855">
        <f>IF(ISNUMBER(
   IF(Criterios!B14="SI",(Datos!K18-Datos!U18)/Datos!U18,(Datos!K18+Datos!AE18-(Datos!U18+Datos!AM18))/(Datos!U18+Datos!AM18))
     ),IF(Criterios!B14="SI",(Datos!K18-Datos!U18)/Datos!U18,(Datos!K18+Datos!AE18-(Datos!U18+Datos!AM18))/(Datos!U18+Datos!AM18))," - ")</f>
        <v>0.13336173838943333</v>
      </c>
      <c r="E18" s="855">
        <f>IF(ISNUMBER(
   IF(Criterios!B14="SI",(Datos!L18-Datos!V18)/Datos!V18,(Datos!L18+Datos!AF18-(Datos!V18+Datos!AN18))/(Datos!V18+Datos!AN18))
     ),IF(Criterios!B14="SI",(Datos!L18-Datos!V18)/Datos!V18,(Datos!L18+Datos!AF18-(Datos!V18+Datos!AN18))/(Datos!V18+Datos!AN18))," - ")</f>
        <v>0.24289715886354543</v>
      </c>
      <c r="F18" s="856">
        <f>IF(ISNUMBER((Datos!M18-Datos!W18)/Datos!W18),(Datos!M18-Datos!W18)/Datos!W18," - ")</f>
        <v>0.27844311377245506</v>
      </c>
      <c r="G18" s="857">
        <f>IF(ISNUMBER((Datos!N18-Datos!X18)/Datos!X18),(Datos!N18-Datos!X18)/Datos!X18," - ")</f>
        <v>-6.8231841526045486E-2</v>
      </c>
      <c r="H18" s="857">
        <f>IF(ISNUMBER(((NºAsuntos!G18/NºAsuntos!E18)-Datos!BD18)/Datos!BD18),((NºAsuntos!G18/NºAsuntos!E18)-Datos!BD18)/Datos!BD18," - ")</f>
        <v>-1.1160899391769627E-2</v>
      </c>
      <c r="I18" s="857">
        <f>IF(ISNUMBER(((NºAsuntos!I18/NºAsuntos!G18)-Datos!BE18)/Datos!BE18),((NºAsuntos!I18/NºAsuntos!G18)-Datos!BE18)/Datos!BE18," - ")</f>
        <v>9.6646478140128084E-2</v>
      </c>
      <c r="J18" s="857">
        <f>IF(ISNUMBER((('Resol  Asuntos'!D18/NºAsuntos!G18)-Datos!BF18)/Datos!BF18),(('Resol  Asuntos'!D18/NºAsuntos!G18)-Datos!BF18)/Datos!BF18," - ")</f>
        <v>0.12800976993381649</v>
      </c>
      <c r="K18" s="857">
        <f>IF(ISNUMBER((((NºAsuntos!C18+NºAsuntos!E18)/NºAsuntos!G18)-Datos!BG18)/Datos!BG18),(((NºAsuntos!C18+NºAsuntos!E18)/NºAsuntos!G18)-Datos!BG18)/Datos!BG18," - ")</f>
        <v>5.3145965350056307E-2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0.16139453493067707</v>
      </c>
      <c r="C19" s="802">
        <f>IF(ISNUMBER(
   IF(J_V="SI",(Datos!J19-Datos!T19)/Datos!T19,(Datos!J19+Datos!Z19-(Datos!T19+Datos!AH19))/(Datos!T19+Datos!AH19))
     ),IF(J_V="SI",(Datos!J19-Datos!T19)/Datos!T19,(Datos!J19+Datos!Z19-(Datos!T19+Datos!AH19))/(Datos!T19+Datos!AH19))," - ")</f>
        <v>5.5735711390352653E-2</v>
      </c>
      <c r="D19" s="802">
        <f>IF(ISNUMBER(
   IF(J_V="SI",(Datos!K19-Datos!U19)/Datos!U19,(Datos!K19+Datos!AA19-(Datos!U19+Datos!AI19))/(Datos!U19+Datos!AI19))
     ),IF(J_V="SI",(Datos!K19-Datos!U19)/Datos!U19,(Datos!K19+Datos!AA19-(Datos!U19+Datos!AI19))/(Datos!U19+Datos!AI19))," - ")</f>
        <v>-2.7237354085603113E-2</v>
      </c>
      <c r="E19" s="802">
        <f>IF(ISNUMBER(
   IF(J_V="SI",(Datos!L19-Datos!V19)/Datos!V19,(Datos!L19+Datos!AB19-(Datos!V19+Datos!AJ19))/(Datos!V19+Datos!AJ19))
     ),IF(J_V="SI",(Datos!L19-Datos!V19)/Datos!V19,(Datos!L19+Datos!AB19-(Datos!V19+Datos!AJ19))/(Datos!V19+Datos!AJ19))," - ")</f>
        <v>0.21271783956365573</v>
      </c>
      <c r="F19" s="803">
        <f>IF(ISNUMBER((Datos!M19-Datos!W19)/Datos!W19),(Datos!M19-Datos!W19)/Datos!W19," - ")</f>
        <v>0.18158890290037832</v>
      </c>
      <c r="G19" s="804">
        <f>IF(ISNUMBER((Datos!N19-Datos!X19)/Datos!X19),(Datos!N19-Datos!X19)/Datos!X19," - ")</f>
        <v>-0.15387673956262427</v>
      </c>
      <c r="H19" s="805">
        <f>IF(ISNUMBER((Tasas!B19-Datos!BD19)/Datos!BD19),(Tasas!B19-Datos!BD19)/Datos!BD19," - ")</f>
        <v>-7.8592648312222277E-2</v>
      </c>
      <c r="I19" s="806">
        <f>IF(ISNUMBER((Tasas!C19-Datos!BE19)/Datos!BE19),(Tasas!C19-Datos!BE19)/Datos!BE19," - ")</f>
        <v>0.24667393907143806</v>
      </c>
      <c r="J19" s="807">
        <f>IF(ISNUMBER((Tasas!D19-Datos!BF19)/Datos!BF19),(Tasas!D19-Datos!BF19)/Datos!BF19," - ")</f>
        <v>-0.35396646545942323</v>
      </c>
      <c r="K19" s="807">
        <f>IF(ISNUMBER((Tasas!E19-Datos!BG19)/Datos!BG19),(Tasas!E19-Datos!BG19)/Datos!BG19," - ")</f>
        <v>0.15056507320229712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VnR7VYmetOh1vxS1UtbGbt3f251nLvv4Cp7KmYnFmufrHH/jYWLB42bdPilm3+7/j1d8p+6R1sadr2grSqqwg==" saltValue="Xfp+4fCkimULLKD85rVd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BENIDORM</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0.82910116888351471</v>
      </c>
      <c r="C9" s="443">
        <f>IF(ISNUMBER(NºAsuntos!I9/NºAsuntos!G9),NºAsuntos!I9/NºAsuntos!G9," - ")</f>
        <v>2.8711716091395236</v>
      </c>
      <c r="D9" s="444">
        <f>IF(ISNUMBER('Resol  Asuntos'!D9/NºAsuntos!G9),'Resol  Asuntos'!D9/NºAsuntos!G9," - ")</f>
        <v>0.24258629071463297</v>
      </c>
      <c r="E9" s="445">
        <f>IF(ISNUMBER((NºAsuntos!C9+NºAsuntos!E9)/NºAsuntos!G9),(NºAsuntos!C9+NºAsuntos!E9)/NºAsuntos!G9," - ")</f>
        <v>3.8697131745260087</v>
      </c>
      <c r="G9" s="463"/>
    </row>
    <row r="10" spans="1:7">
      <c r="A10" s="402" t="str">
        <f>Datos!A10</f>
        <v>Jdos. Violencia contra la mujer</v>
      </c>
      <c r="B10" s="442">
        <f>IF(ISNUMBER(NºAsuntos!G10/NºAsuntos!E10),NºAsuntos!G10/NºAsuntos!E10," - ")</f>
        <v>0.71739130434782605</v>
      </c>
      <c r="C10" s="443">
        <f>IF(ISNUMBER(NºAsuntos!I10/NºAsuntos!G10),NºAsuntos!I10/NºAsuntos!G10," - ")</f>
        <v>3.0909090909090908</v>
      </c>
      <c r="D10" s="444">
        <f>IF(ISNUMBER('Resol  Asuntos'!D10/NºAsuntos!G10),'Resol  Asuntos'!D10/NºAsuntos!G10," - ")</f>
        <v>0.33333333333333331</v>
      </c>
      <c r="E10" s="445">
        <f>IF(ISNUMBER((NºAsuntos!C10+NºAsuntos!E10)/NºAsuntos!G10),(NºAsuntos!C10+NºAsuntos!E10)/NºAsuntos!G10," - ")</f>
        <v>4.0909090909090908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0.82706766917293228</v>
      </c>
      <c r="C13" s="859">
        <f>IF(ISNUMBER(NºAsuntos!I13/NºAsuntos!G13),NºAsuntos!I13/NºAsuntos!G13," - ")</f>
        <v>2.8755980861244019</v>
      </c>
      <c r="D13" s="860">
        <f>IF(ISNUMBER('Resol  Asuntos'!D13/NºAsuntos!G13),'Resol  Asuntos'!D13/NºAsuntos!G13," - ")</f>
        <v>0.24401913875598086</v>
      </c>
      <c r="E13" s="861">
        <f>IF(ISNUMBER((NºAsuntos!C13+NºAsuntos!E13)/NºAsuntos!G13),(NºAsuntos!C13+NºAsuntos!E13)/NºAsuntos!G13," - ")</f>
        <v>3.8741626794258375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0.98933209647495357</v>
      </c>
      <c r="C15" s="443">
        <f>IF(ISNUMBER(NºAsuntos!I15/NºAsuntos!G15),NºAsuntos!I15/NºAsuntos!G15," - ")</f>
        <v>1.3300515705578997</v>
      </c>
      <c r="D15" s="444">
        <f>IF(ISNUMBER('Resol  Asuntos'!D15/NºAsuntos!G15),'Resol  Asuntos'!D15/NºAsuntos!G15," - ")</f>
        <v>0.1683075480543835</v>
      </c>
      <c r="E15" s="445">
        <f>IF(ISNUMBER((NºAsuntos!C15+NºAsuntos!E15)/NºAsuntos!G15),(NºAsuntos!C15+NºAsuntos!E15)/NºAsuntos!G15," - ")</f>
        <v>2.3178621659634318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1.0019011406844107</v>
      </c>
      <c r="C17" s="443">
        <f>IF(ISNUMBER(NºAsuntos!I17/NºAsuntos!G17),NºAsuntos!I17/NºAsuntos!G17," - ")</f>
        <v>0.50664136622390887</v>
      </c>
      <c r="D17" s="444">
        <f>IF(ISNUMBER('Resol  Asuntos'!D17/NºAsuntos!G17),'Resol  Asuntos'!D17/NºAsuntos!G17," - ")</f>
        <v>0.12903225806451613</v>
      </c>
      <c r="E17" s="445">
        <f>IF(ISNUMBER((NºAsuntos!C17+NºAsuntos!E17)/NºAsuntos!G17),(NºAsuntos!C17+NºAsuntos!E17)/NºAsuntos!G17," - ")</f>
        <v>1.5066413662239089</v>
      </c>
      <c r="G17" s="463"/>
    </row>
    <row r="18" spans="1:7" ht="14.25" thickTop="1" thickBot="1">
      <c r="A18" s="848" t="str">
        <f>Datos!A18</f>
        <v>TOTAL</v>
      </c>
      <c r="B18" s="858">
        <f>IF(ISNUMBER(NºAsuntos!G18/NºAsuntos!E18),NºAsuntos!G18/NºAsuntos!E18," - ")</f>
        <v>0.99179716629381054</v>
      </c>
      <c r="C18" s="859">
        <f>IF(ISNUMBER(NºAsuntos!I18/NºAsuntos!G18),NºAsuntos!I18/NºAsuntos!G18," - ")</f>
        <v>1.1676691729323307</v>
      </c>
      <c r="D18" s="862">
        <f>IF(ISNUMBER('Resol  Asuntos'!D18/NºAsuntos!G18),'Resol  Asuntos'!D18/NºAsuntos!G18," - ")</f>
        <v>0.16052631578947368</v>
      </c>
      <c r="E18" s="861">
        <f>IF(ISNUMBER((NºAsuntos!C18+NºAsuntos!E18)/NºAsuntos!G18),(NºAsuntos!C18+NºAsuntos!E18)/NºAsuntos!G18," - ")</f>
        <v>2.1578947368421053</v>
      </c>
      <c r="G18" s="463"/>
    </row>
    <row r="19" spans="1:7" ht="15.75" customHeight="1" thickTop="1" thickBot="1">
      <c r="A19" s="793" t="str">
        <f>Datos!A19</f>
        <v>TOTAL JURISDICCIONES</v>
      </c>
      <c r="B19" s="808">
        <f>IF(ISNUMBER(NºAsuntos!G19/NºAsuntos!E19),NºAsuntos!G19/NºAsuntos!E19," - ")</f>
        <v>0.91188327894029564</v>
      </c>
      <c r="C19" s="809">
        <f>IF(ISNUMBER(NºAsuntos!I19/NºAsuntos!G19),NºAsuntos!I19/NºAsuntos!G19," - ")</f>
        <v>1.9191578947368422</v>
      </c>
      <c r="D19" s="810">
        <f>IF(ISNUMBER('Resol  Asuntos'!D19/NºAsuntos!G19),'Resol  Asuntos'!D19/NºAsuntos!G19," - ")</f>
        <v>0.19726315789473683</v>
      </c>
      <c r="E19" s="811">
        <f>IF(ISNUMBER((NºAsuntos!C19+NºAsuntos!E19)/NºAsuntos!G19),(NºAsuntos!C19+NºAsuntos!E19)/NºAsuntos!G19," - ")</f>
        <v>2.9130526315789473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RK3Qc626KVhSFiwWw4VsFGCNL2RKvbscGZXXgJZSSp4KmycxdTKFBKP86R2PTACcYklsEXODLtvcR5dbm99Vw==" saltValue="WeuewtbTCMZCKCu2Bo/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BENIDORM</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766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588</v>
      </c>
      <c r="Y9" s="334">
        <f>SUM(W9:X9)</f>
        <v>588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6784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499</v>
      </c>
      <c r="AJ9" s="229" t="str">
        <f>IF(ISNUMBER(Datos!BW9),Datos!BW9," - ")</f>
        <v xml:space="preserve"> - </v>
      </c>
      <c r="AK9" s="228" t="str">
        <f>IF(ISNUMBER(Datos!BX9),Datos!BX9," - ")</f>
        <v xml:space="preserve"> - </v>
      </c>
      <c r="AL9" s="243">
        <f>IF(ISNUMBER(NºAsuntos!G9/NºAsuntos!E9),NºAsuntos!G9/NºAsuntos!E9," - ")</f>
        <v>0.82910116888351471</v>
      </c>
      <c r="AM9" s="260">
        <f>IF(ISNUMBER(((NºAsuntos!I9/NºAsuntos!G9)*11)/factor_trimestre),((NºAsuntos!I9/NºAsuntos!G9)*11)/factor_trimestre," - ")</f>
        <v>8.6135148274185713</v>
      </c>
      <c r="AN9" s="244">
        <f>IF(ISNUMBER('Resol  Asuntos'!D9/NºAsuntos!G9),'Resol  Asuntos'!D9/NºAsuntos!G9," - ")</f>
        <v>0.24258629071463297</v>
      </c>
      <c r="AO9" s="245">
        <f>IF(ISNUMBER((NºAsuntos!C9+NºAsuntos!E9)/NºAsuntos!G9),(NºAsuntos!C9+NºAsuntos!E9)/NºAsuntos!G9," - ")</f>
        <v>3.8697131745260087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89</v>
      </c>
      <c r="G10" s="333">
        <f>IF(ISNUMBER(Datos!I10),Datos!I10," - ")</f>
        <v>89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5</v>
      </c>
      <c r="Y10" s="334">
        <f t="shared" ref="Y10:Y12" si="0">SUM(W10:X10)</f>
        <v>38</v>
      </c>
      <c r="Z10" s="335" t="str">
        <f>IF(ISNUMBER(Datos!CC10),Datos!CC10," - ")</f>
        <v xml:space="preserve"> - </v>
      </c>
      <c r="AA10" s="332">
        <f>IF(ISNUMBER(Datos!L10),Datos!L10,"-")</f>
        <v>102</v>
      </c>
      <c r="AB10" s="334">
        <f>IF(ISNUMBER(Datos!R10),Datos!R10," - ")</f>
        <v>49</v>
      </c>
      <c r="AC10" s="334">
        <f t="shared" ref="AC10:AC12" si="1">IF(ISNUMBER(AA10+AB10),AA10+AB10," - ")</f>
        <v>151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0.71739130434782605</v>
      </c>
      <c r="AM10" s="260">
        <f>IF(ISNUMBER(((NºAsuntos!I10/NºAsuntos!G10)*11)/factor_trimestre),((NºAsuntos!I10/NºAsuntos!G10)*11)/factor_trimestre," - ")</f>
        <v>9.2727272727272734</v>
      </c>
      <c r="AN10" s="244">
        <f>IF(ISNUMBER('Resol  Asuntos'!D10/NºAsuntos!G10),'Resol  Asuntos'!D10/NºAsuntos!G10," - ")</f>
        <v>0.33333333333333331</v>
      </c>
      <c r="AO10" s="245">
        <f>IF(ISNUMBER((NºAsuntos!C10+NºAsuntos!E10)/NºAsuntos!G10),(NºAsuntos!C10+NºAsuntos!E10)/NºAsuntos!G10," - ")</f>
        <v>4.0909090909090908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89</v>
      </c>
      <c r="G13" s="866">
        <f t="shared" si="3"/>
        <v>89</v>
      </c>
      <c r="H13" s="865">
        <f t="shared" si="3"/>
        <v>0</v>
      </c>
      <c r="I13" s="867">
        <f t="shared" si="3"/>
        <v>0</v>
      </c>
      <c r="J13" s="867">
        <f t="shared" si="3"/>
        <v>0</v>
      </c>
      <c r="K13" s="867">
        <f t="shared" si="3"/>
        <v>0</v>
      </c>
      <c r="L13" s="867">
        <f t="shared" si="3"/>
        <v>771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596</v>
      </c>
      <c r="Y13" s="868">
        <f t="shared" si="4"/>
        <v>629</v>
      </c>
      <c r="Z13" s="868">
        <f t="shared" si="4"/>
        <v>0</v>
      </c>
      <c r="AA13" s="868">
        <f t="shared" si="4"/>
        <v>102</v>
      </c>
      <c r="AB13" s="868">
        <f t="shared" si="4"/>
        <v>6863</v>
      </c>
      <c r="AC13" s="868">
        <f t="shared" si="4"/>
        <v>151</v>
      </c>
      <c r="AD13" s="868">
        <f t="shared" si="4"/>
        <v>0</v>
      </c>
      <c r="AE13" s="872">
        <f t="shared" si="4"/>
        <v>0</v>
      </c>
      <c r="AF13" s="865">
        <f t="shared" si="4"/>
        <v>0</v>
      </c>
      <c r="AG13" s="873">
        <f t="shared" si="4"/>
        <v>0</v>
      </c>
      <c r="AH13" s="870">
        <f t="shared" si="4"/>
        <v>0</v>
      </c>
      <c r="AI13" s="865">
        <f t="shared" si="4"/>
        <v>510</v>
      </c>
      <c r="AJ13" s="867">
        <f t="shared" si="4"/>
        <v>0</v>
      </c>
      <c r="AK13" s="870">
        <f>SUBTOTAL(9,AK9:AK12)</f>
        <v>0</v>
      </c>
      <c r="AL13" s="874">
        <f>IF(ISNUMBER(NºAsuntos!G13/NºAsuntos!E13),NºAsuntos!G13/NºAsuntos!E13," - ")</f>
        <v>0.82706766917293228</v>
      </c>
      <c r="AM13" s="874">
        <f>IF(ISNUMBER(((NºAsuntos!I13/NºAsuntos!G13)*11)/factor_trimestre),((NºAsuntos!I13/NºAsuntos!G13)*11)/factor_trimestre," - ")</f>
        <v>8.6267942583732058</v>
      </c>
      <c r="AN13" s="875">
        <f>IF(ISNUMBER('Resol  Asuntos'!D13/NºAsuntos!G13),'Resol  Asuntos'!D13/NºAsuntos!G13," - ")</f>
        <v>0.24401913875598086</v>
      </c>
      <c r="AO13" s="876">
        <f>IF(ISNUMBER((NºAsuntos!C13+NºAsuntos!E13)/NºAsuntos!G13),(NºAsuntos!C13+NºAsuntos!E13)/NºAsuntos!G13," - ")</f>
        <v>3.8741626794258375</v>
      </c>
      <c r="AP13" s="877" t="str">
        <f t="shared" si="2"/>
        <v xml:space="preserve"> - </v>
      </c>
      <c r="AQ13" s="877">
        <f>IF(ISNUMBER((H13-W13+K13)/(F13)),(H13-W13+K13)/(F13)," - ")</f>
        <v>-0.3707865168539326</v>
      </c>
      <c r="AR13" s="878">
        <f>IF(ISNUMBER((Datos!P13-Datos!Q13)/(Datos!R13-Datos!P13+Datos!Q13)),(Datos!P13-Datos!Q13)/(Datos!R13-Datos!P13+Datos!Q13)," - ")</f>
        <v>2.6166267942583733E-2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2814</v>
      </c>
      <c r="G15" s="333">
        <f>IF(ISNUMBER(IF(D_I="SI",Datos!I15,Datos!I15+Datos!AC15)),IF(D_I="SI",Datos!I15,Datos!I15+Datos!AC15)," - ")</f>
        <v>2788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2133</v>
      </c>
      <c r="X15" s="226">
        <f>IF(ISNUMBER(Datos!Q15),Datos!Q15," - ")</f>
        <v>154</v>
      </c>
      <c r="Y15" s="334">
        <f>SUM(W15)</f>
        <v>2133</v>
      </c>
      <c r="Z15" s="335" t="str">
        <f>IF(ISNUMBER(Datos!CC15),Datos!CC15," - ")</f>
        <v xml:space="preserve"> - </v>
      </c>
      <c r="AA15" s="332">
        <f>IF(ISNUMBER(IF(D_I="SI",Datos!L15,Datos!L15+Datos!AF15)),IF(D_I="SI",Datos!L15,Datos!L15+Datos!AF15)," - ")</f>
        <v>2837</v>
      </c>
      <c r="AB15" s="334">
        <f>IF(ISNUMBER(Datos!R15),Datos!R15," - ")</f>
        <v>302</v>
      </c>
      <c r="AC15" s="334">
        <f t="shared" ref="AC15:AC17" si="6">IF(ISNUMBER(AA15+AB15),AA15+AB15," - ")</f>
        <v>3139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359</v>
      </c>
      <c r="AJ15" s="231" t="str">
        <f>IF(ISNUMBER(Datos!BW15),Datos!BW15," - ")</f>
        <v xml:space="preserve"> - </v>
      </c>
      <c r="AK15" s="232" t="str">
        <f>IF(ISNUMBER(Datos!BX15),Datos!BX15," - ")</f>
        <v xml:space="preserve"> - </v>
      </c>
      <c r="AL15" s="243">
        <f>IF(ISNUMBER(NºAsuntos!G15/NºAsuntos!E15),NºAsuntos!G15/NºAsuntos!E15," - ")</f>
        <v>0.98933209647495357</v>
      </c>
      <c r="AM15" s="260">
        <f>IF(ISNUMBER(((NºAsuntos!I15/NºAsuntos!G15)*11)/factor_trimestre),((NºAsuntos!I15/NºAsuntos!G15)*11)/factor_trimestre," - ")</f>
        <v>3.9901547116736995</v>
      </c>
      <c r="AN15" s="244">
        <f>IF(ISNUMBER('Resol  Asuntos'!D15/NºAsuntos!G15),'Resol  Asuntos'!D15/NºAsuntos!G15," - ")</f>
        <v>0.1683075480543835</v>
      </c>
      <c r="AO15" s="245">
        <f>IF(ISNUMBER((NºAsuntos!C15+NºAsuntos!E15)/NºAsuntos!G15),(NºAsuntos!C15+NºAsuntos!E15)/NºAsuntos!G15," - ")</f>
        <v>2.3178621659634318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0</v>
      </c>
      <c r="AC16" s="334">
        <f t="shared" si="6"/>
        <v>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527</v>
      </c>
      <c r="X17" s="226">
        <f>IF(ISNUMBER(Datos!Q17),Datos!Q17," - ")</f>
        <v>6</v>
      </c>
      <c r="Y17" s="334">
        <f t="shared" si="7"/>
        <v>533</v>
      </c>
      <c r="Z17" s="335" t="str">
        <f>IF(ISNUMBER(Datos!CC17),Datos!CC17," - ")</f>
        <v xml:space="preserve"> - </v>
      </c>
      <c r="AA17" s="332">
        <f>IF(ISNUMBER(Datos!L17),Datos!L17,"-")</f>
        <v>267</v>
      </c>
      <c r="AB17" s="334">
        <f>IF(ISNUMBER(Datos!R17),Datos!R17," - ")</f>
        <v>4</v>
      </c>
      <c r="AC17" s="334">
        <f t="shared" si="6"/>
        <v>271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68</v>
      </c>
      <c r="AJ17" s="231" t="str">
        <f>IF(ISNUMBER(Datos!BW17),Datos!BW17," - ")</f>
        <v xml:space="preserve"> - </v>
      </c>
      <c r="AK17" s="232" t="str">
        <f>IF(ISNUMBER(Datos!BX17),Datos!BX17," - ")</f>
        <v xml:space="preserve"> - </v>
      </c>
      <c r="AL17" s="243">
        <f>IF(ISNUMBER(NºAsuntos!G17/NºAsuntos!E17),NºAsuntos!G17/NºAsuntos!E17," - ")</f>
        <v>1.0019011406844107</v>
      </c>
      <c r="AM17" s="260">
        <f>IF(ISNUMBER(((NºAsuntos!I17/NºAsuntos!G17)*11)/factor_trimestre),((NºAsuntos!I17/NºAsuntos!G17)*11)/factor_trimestre," - ")</f>
        <v>1.5199240986717266</v>
      </c>
      <c r="AN17" s="244">
        <f>IF(ISNUMBER('Resol  Asuntos'!D17/NºAsuntos!G17),'Resol  Asuntos'!D17/NºAsuntos!G17," - ")</f>
        <v>0.12903225806451613</v>
      </c>
      <c r="AO17" s="245">
        <f>IF(ISNUMBER((NºAsuntos!C17+NºAsuntos!E17)/NºAsuntos!G17),(NºAsuntos!C17+NºAsuntos!E17)/NºAsuntos!G17," - ")</f>
        <v>1.5066413662239089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2816</v>
      </c>
      <c r="G18" s="866">
        <f>SUBTOTAL(9,G15:G17)</f>
        <v>3058</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2660</v>
      </c>
      <c r="X18" s="867">
        <f t="shared" si="11"/>
        <v>160</v>
      </c>
      <c r="Y18" s="868">
        <f t="shared" si="11"/>
        <v>2666</v>
      </c>
      <c r="Z18" s="868">
        <f t="shared" si="11"/>
        <v>0</v>
      </c>
      <c r="AA18" s="868">
        <f t="shared" si="11"/>
        <v>3106</v>
      </c>
      <c r="AB18" s="868">
        <f t="shared" si="11"/>
        <v>306</v>
      </c>
      <c r="AC18" s="868">
        <f t="shared" si="11"/>
        <v>3412</v>
      </c>
      <c r="AD18" s="868">
        <f t="shared" si="11"/>
        <v>0</v>
      </c>
      <c r="AE18" s="872">
        <f t="shared" si="11"/>
        <v>0</v>
      </c>
      <c r="AF18" s="865">
        <f t="shared" si="11"/>
        <v>0</v>
      </c>
      <c r="AG18" s="873">
        <f t="shared" si="11"/>
        <v>0</v>
      </c>
      <c r="AH18" s="870">
        <f t="shared" si="11"/>
        <v>0</v>
      </c>
      <c r="AI18" s="865">
        <f t="shared" si="11"/>
        <v>427</v>
      </c>
      <c r="AJ18" s="867">
        <f t="shared" si="11"/>
        <v>0</v>
      </c>
      <c r="AK18" s="870">
        <f t="shared" si="11"/>
        <v>0</v>
      </c>
      <c r="AL18" s="874">
        <f>IF(ISNUMBER(NºAsuntos!G18/NºAsuntos!E18),NºAsuntos!G18/NºAsuntos!E18," - ")</f>
        <v>0.99179716629381054</v>
      </c>
      <c r="AM18" s="874">
        <f>IF(ISNUMBER(((NºAsuntos!I18/NºAsuntos!G18)*11)/factor_trimestre),((NºAsuntos!I18/NºAsuntos!G18)*11)/factor_trimestre," - ")</f>
        <v>3.5030075187969922</v>
      </c>
      <c r="AN18" s="875">
        <f>IF(ISNUMBER('Resol  Asuntos'!D18/NºAsuntos!G18),'Resol  Asuntos'!D18/NºAsuntos!G18," - ")</f>
        <v>0.16052631578947368</v>
      </c>
      <c r="AO18" s="876">
        <f>IF(ISNUMBER((NºAsuntos!C18+NºAsuntos!E18)/NºAsuntos!G18),(NºAsuntos!C18+NºAsuntos!E18)/NºAsuntos!G18," - ")</f>
        <v>2.1578947368421053</v>
      </c>
      <c r="AP18" s="877" t="str">
        <f t="shared" si="2"/>
        <v xml:space="preserve"> - </v>
      </c>
      <c r="AQ18" s="877">
        <f>IF(ISNUMBER((H18-W18+K18)/(F18)),(H18-W18+K18)/(F18)," - ")</f>
        <v>-0.94460227272727271</v>
      </c>
      <c r="AR18" s="878">
        <f>IF(ISNUMBER((Datos!P18-Datos!Q18)/(Datos!R18-Datos!P18+Datos!Q18)),(Datos!P18-Datos!Q18)/(Datos!R18-Datos!P18+Datos!Q18)," - ")</f>
        <v>-0.16847826086956522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2905</v>
      </c>
      <c r="G19" s="821">
        <f t="shared" si="13"/>
        <v>3147</v>
      </c>
      <c r="H19" s="820">
        <f t="shared" si="13"/>
        <v>0</v>
      </c>
      <c r="I19" s="822">
        <f t="shared" si="13"/>
        <v>0</v>
      </c>
      <c r="J19" s="822">
        <f t="shared" si="13"/>
        <v>0</v>
      </c>
      <c r="K19" s="881">
        <f t="shared" si="13"/>
        <v>0</v>
      </c>
      <c r="L19" s="822">
        <f t="shared" si="13"/>
        <v>869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2693</v>
      </c>
      <c r="X19" s="821">
        <f t="shared" si="14"/>
        <v>756</v>
      </c>
      <c r="Y19" s="828">
        <f t="shared" si="14"/>
        <v>3295</v>
      </c>
      <c r="Z19" s="828">
        <f t="shared" si="14"/>
        <v>0</v>
      </c>
      <c r="AA19" s="828">
        <f t="shared" si="14"/>
        <v>3208</v>
      </c>
      <c r="AB19" s="828">
        <f t="shared" si="14"/>
        <v>7169</v>
      </c>
      <c r="AC19" s="828">
        <f t="shared" si="14"/>
        <v>3563</v>
      </c>
      <c r="AD19" s="828">
        <f t="shared" si="14"/>
        <v>0</v>
      </c>
      <c r="AE19" s="830">
        <f t="shared" si="14"/>
        <v>0</v>
      </c>
      <c r="AF19" s="831">
        <f t="shared" si="14"/>
        <v>0</v>
      </c>
      <c r="AG19" s="832">
        <f t="shared" si="14"/>
        <v>0</v>
      </c>
      <c r="AH19" s="830">
        <f t="shared" si="14"/>
        <v>0</v>
      </c>
      <c r="AI19" s="820">
        <f t="shared" si="14"/>
        <v>937</v>
      </c>
      <c r="AJ19" s="820">
        <f t="shared" si="14"/>
        <v>0</v>
      </c>
      <c r="AK19" s="830">
        <f t="shared" si="14"/>
        <v>0</v>
      </c>
      <c r="AL19" s="884">
        <f>IF(ISNUMBER(NºAsuntos!G19/NºAsuntos!E19),NºAsuntos!G19/NºAsuntos!E19," - ")</f>
        <v>0.91188327894029564</v>
      </c>
      <c r="AM19" s="885">
        <f>IF(ISNUMBER(((NºAsuntos!I19/NºAsuntos!G19)*11)/factor_trimestre),((NºAsuntos!I19/NºAsuntos!G19)*11)/factor_trimestre," - ")</f>
        <v>5.7574736842105274</v>
      </c>
      <c r="AN19" s="885">
        <f>IF(ISNUMBER('Resol  Asuntos'!D19/NºAsuntos!G19),'Resol  Asuntos'!D19/NºAsuntos!G19," - ")</f>
        <v>0.19726315789473683</v>
      </c>
      <c r="AO19" s="886">
        <f>IF(ISNUMBER((NºAsuntos!C19+NºAsuntos!E19)/NºAsuntos!G19),(NºAsuntos!C19+NºAsuntos!E19)/NºAsuntos!G19," - ")</f>
        <v>2.9130526315789473</v>
      </c>
      <c r="AP19" s="887" t="str">
        <f t="shared" si="2"/>
        <v xml:space="preserve"> - </v>
      </c>
      <c r="AQ19" s="888">
        <f>IF(OR(ISNUMBER(FIND("01",Criterios!A8,1)),ISNUMBER(FIND("02",Criterios!A8,1)),ISNUMBER(FIND("03",Criterios!A8,1)),ISNUMBER(FIND("04",Criterios!A8,1))),(I19-W19+K19)/(F19-K19),(H19-W19+K19)/(F19-K19))</f>
        <v>-0.9270223752151463</v>
      </c>
      <c r="AR19" s="889">
        <f>IF(ISNUMBER((Datos!P19-Datos!Q19)/(Datos!R19-Datos!P19+Datos!Q19)),(Datos!P19-Datos!Q19)/(Datos!R19-Datos!P19+Datos!Q19)," - ")</f>
        <v>1.6014739229024945E-2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1509.3937524715013</v>
      </c>
      <c r="G21" s="253">
        <f>IF(ISNUMBER(STDEV(G8:G18)),STDEV(G8:G18),"-")</f>
        <v>1456.6792371692541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1189.1478741799383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234.84691062173124</v>
      </c>
      <c r="AJ21" s="252">
        <f t="shared" si="18"/>
        <v>0</v>
      </c>
      <c r="AK21" s="254">
        <f t="shared" si="18"/>
        <v>0</v>
      </c>
      <c r="AL21" s="249">
        <f t="shared" si="18"/>
        <v>0.11846385700526292</v>
      </c>
      <c r="AM21" s="250">
        <f t="shared" si="18"/>
        <v>3.3090589184421586</v>
      </c>
      <c r="AN21" s="250">
        <f t="shared" si="18"/>
        <v>7.4992166010604197E-2</v>
      </c>
      <c r="AO21" s="251">
        <f t="shared" si="18"/>
        <v>1.1054091567434978</v>
      </c>
      <c r="AP21" s="291" t="str">
        <f t="shared" si="18"/>
        <v>-</v>
      </c>
      <c r="AQ21" s="292">
        <f t="shared" si="18"/>
        <v>0.40574901212972342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WXg9wKBeAlbxUqjZQ4zjQoq5NfaHx7mO3j+jmXtCtQ3pR/HNeRLgQQypCveK7NAe4LwNV5n0OWFEr3dWMnxkw==" saltValue="+HqviiwDRFzOMdKRGKY4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BENIDORM</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0.12134831460674157</v>
      </c>
      <c r="I9" s="350">
        <f>IF(ISNUMBER((Tasas!C9-Datos!BE9)/Datos!BE9),(Tasas!C9-Datos!BE9)/Datos!BE9," - ")</f>
        <v>0.45004577439822435</v>
      </c>
      <c r="J9" s="349">
        <f>IF(ISNUMBER((Tasas!D9-Datos!BF9)/Datos!BF9),(Tasas!D9-Datos!BF9)/Datos!BF9," - ")</f>
        <v>-0.46792315763640868</v>
      </c>
      <c r="K9" s="351">
        <f>IF(ISNUMBER((Tasas!E9-Datos!BG9)/Datos!BG9),(Tasas!E9-Datos!BG9)/Datos!BG9," - ")</f>
        <v>0.29853713405657933</v>
      </c>
      <c r="M9" t="e">
        <f>IF(Monitorios="SI",Datos!CE9,0)</f>
        <v>#REF!</v>
      </c>
      <c r="N9" t="e">
        <f>IF(Monitorios="SI",Datos!CF9,0)</f>
        <v>#REF!</v>
      </c>
      <c r="O9" t="e">
        <f>IF(Monitorios="SI",Datos!CG9,0)</f>
        <v>#REF!</v>
      </c>
      <c r="P9" t="e">
        <f>IF(Monitorios="SI",Datos!CH9,0)</f>
        <v>#REF!</v>
      </c>
      <c r="Q9">
        <f>IF(J_V="SI",0,Datos!AG9)</f>
        <v>219</v>
      </c>
      <c r="R9">
        <f>IF(J_V="SI",0,Datos!AH9)</f>
        <v>107</v>
      </c>
      <c r="S9">
        <f>IF(J_V="SI",0,Datos!AI9)</f>
        <v>153</v>
      </c>
      <c r="T9">
        <f>IF(J_V="SI",0,Datos!AJ9)</f>
        <v>173</v>
      </c>
    </row>
    <row r="10" spans="2:20" ht="14.25">
      <c r="B10" s="275" t="s">
        <v>246</v>
      </c>
      <c r="C10" s="7" t="str">
        <f>Datos!A10</f>
        <v>Jdos. Violencia contra la mujer</v>
      </c>
      <c r="D10" s="352">
        <f>IF(ISNUMBER((Datos!I10-Datos!S10)/Datos!S10),(Datos!I10-Datos!S10)/Datos!S10," - ")</f>
        <v>0.74509803921568629</v>
      </c>
      <c r="E10" s="348">
        <f>IF(ISNUMBER((Datos!J10-Datos!T10)/Datos!T10),(Datos!J10-Datos!T10)/Datos!T10," - ")</f>
        <v>0.53333333333333333</v>
      </c>
      <c r="F10" s="348">
        <f>IF(ISNUMBER((Datos!K10-Datos!U10)/Datos!U10),(Datos!K10-Datos!U10)/Datos!U10," - ")</f>
        <v>0.13793103448275862</v>
      </c>
      <c r="G10" s="349">
        <f>IF(ISNUMBER((Datos!L10-Datos!V10)/Datos!V10),(Datos!L10-Datos!V10)/Datos!V10," - ")</f>
        <v>0.96153846153846156</v>
      </c>
      <c r="H10" s="230">
        <f>IF(ISNUMBER((Datos!M10-Datos!W10)/Datos!W10),(Datos!M10-Datos!W10)/Datos!W10," - ")</f>
        <v>-0.21428571428571427</v>
      </c>
      <c r="I10" s="350">
        <f>IF(ISNUMBER((Tasas!C10-Datos!BE10)/Datos!BE10),(Tasas!C10-Datos!BE10)/Datos!BE10," - ")</f>
        <v>0.72377622377622375</v>
      </c>
      <c r="J10" s="349">
        <f>IF(ISNUMBER((Tasas!D10-Datos!BF10)/Datos!BF10),(Tasas!D10-Datos!BF10)/Datos!BF10," - ")</f>
        <v>-0.30952380952380959</v>
      </c>
      <c r="K10" s="351">
        <f>IF(ISNUMBER((Tasas!E10-Datos!BG10)/Datos!BG10),(Tasas!E10-Datos!BG10)/Datos!BG10," - ")</f>
        <v>0.46464646464646459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0.1111111111111111</v>
      </c>
      <c r="I13" s="357">
        <f>IF(ISNUMBER((Tasas!C13-Datos!BE13)/Datos!BE13),(Tasas!C13-Datos!BE13)/Datos!BE13," - ")</f>
        <v>0.4532715716244487</v>
      </c>
      <c r="J13" s="355">
        <f>IF(ISNUMBER((Tasas!D13-Datos!BF13)/Datos!BF13),(Tasas!D13-Datos!BF13)/Datos!BF13," - ")</f>
        <v>-0.46514041842250003</v>
      </c>
      <c r="K13" s="358">
        <f>IF(ISNUMBER((Tasas!E13-Datos!BG13)/Datos!BG13),(Tasas!E13-Datos!BG13)/Datos!BG13," - ")</f>
        <v>0.30061908327031034</v>
      </c>
      <c r="M13" t="e">
        <f>IF(Monitorios="SI",Datos!CE13,0)</f>
        <v>#REF!</v>
      </c>
      <c r="N13" t="e">
        <f>IF(Monitorios="SI",Datos!CF13,0)</f>
        <v>#REF!</v>
      </c>
      <c r="O13" t="e">
        <f>IF(Monitorios="SI",Datos!CG13,0)</f>
        <v>#REF!</v>
      </c>
      <c r="P13" t="e">
        <f>IF(Monitorios="SI",Datos!CH13,0)</f>
        <v>#REF!</v>
      </c>
      <c r="Q13">
        <f>IF(J_V="SI",0,Datos!AG13)</f>
        <v>219</v>
      </c>
      <c r="R13">
        <f>IF(J_V="SI",0,Datos!AH13)</f>
        <v>107</v>
      </c>
      <c r="S13">
        <f>IF(J_V="SI",0,Datos!AI13)</f>
        <v>153</v>
      </c>
      <c r="T13">
        <f>IF(J_V="SI",0,Datos!AJ13)</f>
        <v>173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0.19298245614035087</v>
      </c>
      <c r="E15" s="348">
        <f>IF(ISNUMBER(
   IF(D_I="SI",(Datos!J15-Datos!T15)/Datos!T15,(Datos!J15+Datos!AD15-(Datos!T15+Datos!AL15))/(Datos!T15+Datos!AL15))
     ),IF(D_I="SI",(Datos!J15-Datos!T15)/Datos!T15,(Datos!J15+Datos!AD15-(Datos!T15+Datos!AL15))/(Datos!T15+Datos!AL15))," - ")</f>
        <v>0.13057157839538541</v>
      </c>
      <c r="F15" s="348">
        <f>IF(ISNUMBER(
   IF(D_I="SI",(Datos!K15-Datos!U15)/Datos!U15,(Datos!K15+Datos!AE15-(Datos!U15+Datos!AM15))/(Datos!U15+Datos!AM15))
     ),IF(D_I="SI",(Datos!K15-Datos!U15)/Datos!U15,(Datos!K15+Datos!AE15-(Datos!U15+Datos!AM15))/(Datos!U15+Datos!AM15))," - ")</f>
        <v>0.1000515729757607</v>
      </c>
      <c r="G15" s="349">
        <f>IF(ISNUMBER(
   IF(D_I="SI",(Datos!L15-Datos!V15)/Datos!V15,(Datos!L15+Datos!AF15-(Datos!V15+Datos!AN15))/(Datos!V15+Datos!AN15))
     ),IF(D_I="SI",(Datos!L15-Datos!V15)/Datos!V15,(Datos!L15+Datos!AF15-(Datos!V15+Datos!AN15))/(Datos!V15+Datos!AN15))," - ")</f>
        <v>0.21135781383432964</v>
      </c>
      <c r="H15" s="230">
        <f>IF(ISNUMBER((Datos!M15-Datos!W15)/Datos!W15),(Datos!M15-Datos!W15)/Datos!W15," - ")</f>
        <v>0.33457249070631973</v>
      </c>
      <c r="I15" s="350">
        <f>IF(ISNUMBER((Tasas!C15-Datos!BE15)/Datos!BE15),(Tasas!C15-Datos!BE15)/Datos!BE15," - ")</f>
        <v>0.10118274778470007</v>
      </c>
      <c r="J15" s="349">
        <f>IF(ISNUMBER((Tasas!D15-Datos!BF15)/Datos!BF15),(Tasas!D15-Datos!BF15)/Datos!BF15," - ")</f>
        <v>0.21319083894962668</v>
      </c>
      <c r="K15" s="351">
        <f>IF(ISNUMBER((Tasas!E15-Datos!BG15)/Datos!BG15),(Tasas!E15-Datos!BG15)/Datos!BG15," - ")</f>
        <v>5.898556545784496E-2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1.0615384615384615</v>
      </c>
      <c r="E17" s="348">
        <f>IF(ISNUMBER(
   IF(D_I="SI",(Datos!J17-Datos!T17)/Datos!T17,(Datos!J17+Datos!AD17-(Datos!T17+Datos!AL17))/(Datos!T17+Datos!AL17))
     ),IF(D_I="SI",(Datos!J17-Datos!T17)/Datos!T17,(Datos!J17+Datos!AD17-(Datos!T17+Datos!AL17))/(Datos!T17+Datos!AL17))," - ")</f>
        <v>0.21478060046189376</v>
      </c>
      <c r="F17" s="348">
        <f>IF(ISNUMBER(
   IF(D_I="SI",(Datos!K17-Datos!U17)/Datos!U17,(Datos!K17+Datos!AE17-(Datos!U17+Datos!AM17))/(Datos!U17+Datos!AM17))
     ),IF(D_I="SI",(Datos!K17-Datos!U17)/Datos!U17,(Datos!K17+Datos!AE17-(Datos!U17+Datos!AM17))/(Datos!U17+Datos!AM17))," - ")</f>
        <v>0.29166666666666669</v>
      </c>
      <c r="G17" s="349">
        <f>IF(ISNUMBER(
   IF(D_I="SI",(Datos!L17-Datos!V17)/Datos!V17,(Datos!L17+Datos!AF17-(Datos!V17+Datos!AN17))/(Datos!V17+Datos!AN17))
     ),IF(D_I="SI",(Datos!L17-Datos!V17)/Datos!V17,(Datos!L17+Datos!AF17-(Datos!V17+Datos!AN17))/(Datos!V17+Datos!AN17))," - ")</f>
        <v>0.72258064516129028</v>
      </c>
      <c r="H17" s="230">
        <f>IF(ISNUMBER((Datos!M17-Datos!W17)/Datos!W17),(Datos!M17-Datos!W17)/Datos!W17," - ")</f>
        <v>4.6153846153846156E-2</v>
      </c>
      <c r="I17" s="350">
        <f>IF(ISNUMBER((Tasas!C17-Datos!BE17)/Datos!BE17),(Tasas!C17-Datos!BE17)/Datos!BE17," - ")</f>
        <v>0.33361082206035375</v>
      </c>
      <c r="J17" s="349">
        <f>IF(ISNUMBER((Tasas!D17-Datos!BF17)/Datos!BF17),(Tasas!D17-Datos!BF17)/Datos!BF17," - ")</f>
        <v>-0.19007444168734489</v>
      </c>
      <c r="K17" s="351">
        <f>IF(ISNUMBER((Tasas!E17-Datos!BG17)/Datos!BG17),(Tasas!E17-Datos!BG17)/Datos!BG17," - ")</f>
        <v>9.1846673924253691E-2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0.23855812069663831</v>
      </c>
      <c r="E18" s="354">
        <f>IF(ISNUMBER(
   IF(D_I="SI",(Datos!J18-Datos!T18)/Datos!T18,(Datos!J18+Datos!AD18-(Datos!T18+Datos!AL18))/(Datos!T18+Datos!AL18))
     ),IF(D_I="SI",(Datos!J18-Datos!T18)/Datos!T18,(Datos!J18+Datos!AD18-(Datos!T18+Datos!AL18))/(Datos!T18+Datos!AL18))," - ")</f>
        <v>0.14615384615384616</v>
      </c>
      <c r="F18" s="354">
        <f>IF(ISNUMBER(
   IF(D_I="SI",(Datos!K18-Datos!U18)/Datos!U18,(Datos!K18+Datos!AE18-(Datos!U18+Datos!AM18))/(Datos!U18+Datos!AM18))
     ),IF(D_I="SI",(Datos!K18-Datos!U18)/Datos!U18,(Datos!K18+Datos!AE18-(Datos!U18+Datos!AM18))/(Datos!U18+Datos!AM18))," - ")</f>
        <v>0.13336173838943333</v>
      </c>
      <c r="G18" s="355">
        <f>IF(ISNUMBER(
   IF(D_I="SI",(Datos!L18-Datos!V18)/Datos!V18,(Datos!L18+Datos!AF18-(Datos!V18+Datos!AN18))/(Datos!V18+Datos!AN18))
     ),IF(D_I="SI",(Datos!L18-Datos!V18)/Datos!V18,(Datos!L18+Datos!AF18-(Datos!V18+Datos!AN18))/(Datos!V18+Datos!AN18))," - ")</f>
        <v>0.24289715886354543</v>
      </c>
      <c r="H18" s="356">
        <f>IF(ISNUMBER((Datos!M18-Datos!W18)/Datos!W18),(Datos!M18-Datos!W18)/Datos!W18," - ")</f>
        <v>0.27844311377245506</v>
      </c>
      <c r="I18" s="357">
        <f>IF(ISNUMBER((Tasas!C18-Datos!BE18)/Datos!BE18),(Tasas!C18-Datos!BE18)/Datos!BE18," - ")</f>
        <v>9.6646478140128084E-2</v>
      </c>
      <c r="J18" s="355">
        <f>IF(ISNUMBER((Tasas!D18-Datos!BF18)/Datos!BF18),(Tasas!D18-Datos!BF18)/Datos!BF18," - ")</f>
        <v>0.12800976993381649</v>
      </c>
      <c r="K18" s="358">
        <f>IF(ISNUMBER((Tasas!E18-Datos!BG18)/Datos!BG18),(Tasas!E18-Datos!BG18)/Datos!BG18," - ")</f>
        <v>5.3145965350056307E-2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0.16139453493067707</v>
      </c>
      <c r="E19" s="363">
        <f>IF(ISNUMBER(
   IF(J_V="SI",(Datos!J19-Datos!T19)/Datos!T19,(Datos!J19+Datos!Z19-(Datos!T19+Datos!AH19))/(Datos!T19+Datos!AH19))
     ),IF(J_V="SI",(Datos!J19-Datos!T19)/Datos!T19,(Datos!J19+Datos!Z19-(Datos!T19+Datos!AH19))/(Datos!T19+Datos!AH19))," - ")</f>
        <v>5.5735711390352653E-2</v>
      </c>
      <c r="F19" s="363">
        <f>IF(ISNUMBER(
   IF(J_V="SI",(Datos!K19-Datos!U19)/Datos!U19,(Datos!K19+Datos!AA19-(Datos!U19+Datos!AI19))/(Datos!U19+Datos!AI19))
     ),IF(J_V="SI",(Datos!K19-Datos!U19)/Datos!U19,(Datos!K19+Datos!AA19-(Datos!U19+Datos!AI19))/(Datos!U19+Datos!AI19))," - ")</f>
        <v>-2.7237354085603113E-2</v>
      </c>
      <c r="G19" s="364">
        <f>IF(ISNUMBER(
   IF(J_V="SI",(Datos!L19-Datos!V19)/Datos!V19,(Datos!L19+Datos!AB19-(Datos!V19+Datos!AJ19))/(Datos!V19+Datos!AJ19))
     ),IF(J_V="SI",(Datos!L19-Datos!V19)/Datos!V19,(Datos!L19+Datos!AB19-(Datos!V19+Datos!AJ19))/(Datos!V19+Datos!AJ19))," - ")</f>
        <v>0.21271783956365573</v>
      </c>
      <c r="H19" s="365">
        <f>IF(ISNUMBER((Datos!M19-Datos!W19)/Datos!W19),(Datos!M19-Datos!W19)/Datos!W19," - ")</f>
        <v>0.18158890290037832</v>
      </c>
      <c r="I19" s="362">
        <f>IF(ISNUMBER((Tasas!C19-Datos!BE19)/Datos!BE19),(Tasas!C19-Datos!BE19)/Datos!BE19," - ")</f>
        <v>0.24667393907143806</v>
      </c>
      <c r="J19" s="363">
        <f>IF(ISNUMBER((Tasas!D19-Datos!BF19)/Datos!BF19),(Tasas!D19-Datos!BF19)/Datos!BF19," - ")</f>
        <v>-0.35396646545942323</v>
      </c>
      <c r="K19" s="364">
        <f>IF(ISNUMBER((Tasas!E19-Datos!BG19)/Datos!BG19),(Tasas!E19-Datos!BG19)/Datos!BG19," - ")</f>
        <v>0.15056507320229712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0.43997155378669028</v>
      </c>
      <c r="E21" s="278">
        <f t="shared" si="1"/>
        <v>0.18833578789533514</v>
      </c>
      <c r="F21" s="278">
        <f t="shared" si="1"/>
        <v>8.5623564825322934E-2</v>
      </c>
      <c r="G21" s="279">
        <f t="shared" si="1"/>
        <v>0.39869205420485176</v>
      </c>
      <c r="H21" s="285">
        <f t="shared" si="1"/>
        <v>0.19397078643138868</v>
      </c>
      <c r="I21" s="277">
        <f t="shared" si="1"/>
        <v>0.23923981541470021</v>
      </c>
      <c r="J21" s="278">
        <f t="shared" si="1"/>
        <v>0.2934381963836542</v>
      </c>
      <c r="K21" s="279">
        <f t="shared" si="1"/>
        <v>0.16867372648942142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hkXnVtwLV5SlMvYX62qND2VyEQ9kjvkNMhP4Vm/zZxA32A11I51mRob+uX9uFfO5V869DzfgWZZzs54N6C5EQ==" saltValue="bmdpvVcmhq/6gcOeE98k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31.582887700534759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89</v>
      </c>
      <c r="D10" s="225">
        <f>IF(ISNUMBER(Datos!I10),Datos!I10," - ")</f>
        <v>89</v>
      </c>
      <c r="E10" s="226">
        <f>IF(ISNUMBER(Datos!J10),Datos!J10," - ")</f>
        <v>46</v>
      </c>
      <c r="F10" s="226">
        <f>IF(ISNUMBER(Datos!K10),Datos!K10," - ")</f>
        <v>33</v>
      </c>
      <c r="G10" s="1034" t="str">
        <f>IF(Datos!E10&lt;&gt;"",Datos!E10,Datos!D10)</f>
        <v>37</v>
      </c>
      <c r="H10" s="227">
        <f>IF(ISNUMBER(Datos!L10),Datos!L10," - ")</f>
        <v>102</v>
      </c>
      <c r="I10" s="1044" t="str">
        <f>IF(ISNUMBER(Datos!AS10/Datos!BM10),Datos!AS10/Datos!BM10," - ")</f>
        <v xml:space="preserve"> - </v>
      </c>
      <c r="J10" s="1045">
        <f>IF(ISNUMBER(Datos!BY10/Datos!CN10),Datos!BY10/Datos!CN10," - ")</f>
        <v>0</v>
      </c>
      <c r="K10" s="230">
        <f t="shared" ref="K10:K12" si="1">IF(ISNUMBER((E10-F10)/C10),(E10-F10)/C10," - ")</f>
        <v>0.14606741573033707</v>
      </c>
      <c r="L10" s="1025">
        <f>IF(ISNUMBER(NºAsuntos!I10/NºAsuntos!G10),(NºAsuntos!I10/NºAsuntos!G10)*11," - ")</f>
        <v>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89</v>
      </c>
      <c r="D13" s="1049">
        <f>SUBTOTAL(9,D9:D12)</f>
        <v>89</v>
      </c>
      <c r="E13" s="1050">
        <f>SUBTOTAL(9,E9:E12)</f>
        <v>46</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2814</v>
      </c>
      <c r="D15" s="225">
        <f>IF(ISNUMBER(IF(D_I="SI",Datos!I15,Datos!I15+Datos!AC15)),IF(D_I="SI",Datos!I15,Datos!I15+Datos!AC15)," - ")</f>
        <v>2788</v>
      </c>
      <c r="E15" s="226">
        <f>IF(ISNUMBER(IF(D_I="SI",Datos!J15,Datos!J15+Datos!AD15)),IF(D_I="SI",Datos!J15,Datos!J15+Datos!AD15)," - ")</f>
        <v>2156</v>
      </c>
      <c r="F15" s="226">
        <f>IF(ISNUMBER(IF(D_I="SI",Datos!K15,Datos!K15+Datos!AE15)),IF(D_I="SI",Datos!K15,Datos!K15+Datos!AE15)," - ")</f>
        <v>2133</v>
      </c>
      <c r="G15" s="1034" t="str">
        <f>IF(Datos!E15&lt;&gt;"",Datos!E15,Datos!D15)</f>
        <v>03</v>
      </c>
      <c r="H15" s="227">
        <f>IF(ISNUMBER(IF(D_I="SI",Datos!L15,Datos!L15+Datos!AF15)),IF(D_I="SI",Datos!L15,Datos!L15+Datos!AF15)," - ")</f>
        <v>2837</v>
      </c>
      <c r="I15" s="1044" t="str">
        <f>IF(ISNUMBER(Datos!AS15/Datos!BM15),Datos!AS15/Datos!BM15," - ")</f>
        <v xml:space="preserve"> - </v>
      </c>
      <c r="J15" s="1045">
        <f>IF(ISNUMBER(Datos!BY15/Datos!CN15),Datos!BY15/Datos!CN15," - ")</f>
        <v>0</v>
      </c>
      <c r="K15" s="230">
        <f t="shared" ref="K15:K17" si="3">IF(ISNUMBER((E15-F15)/C15),(E15-F15)/C15," - ")</f>
        <v>8.1734186211798159E-3</v>
      </c>
      <c r="L15" s="1025">
        <f>IF(ISNUMBER(NºAsuntos!I15/NºAsuntos!G15),(NºAsuntos!I15/NºAsuntos!G15)*11," - ")</f>
        <v>14.630567276136897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268</v>
      </c>
      <c r="D17" s="225">
        <f>IF(ISNUMBER(IF(D_I="SI",Datos!I17,Datos!I17+Datos!AC17)),IF(D_I="SI",Datos!I17,Datos!I17+Datos!AC17)," - ")</f>
        <v>268</v>
      </c>
      <c r="E17" s="226">
        <f>IF(ISNUMBER(IF(D_I="SI",Datos!J17,Datos!J17+Datos!AD17)),IF(D_I="SI",Datos!J17,Datos!J17+Datos!AD17)," - ")</f>
        <v>526</v>
      </c>
      <c r="F17" s="226">
        <f>IF(ISNUMBER(IF(D_I="SI",Datos!K17,Datos!K17+Datos!AE17)),IF(D_I="SI",Datos!K17,Datos!K17+Datos!AE17)," - ")</f>
        <v>527</v>
      </c>
      <c r="G17" s="1034" t="str">
        <f>IF(Datos!E17&lt;&gt;"",Datos!E17,Datos!D17)</f>
        <v>37</v>
      </c>
      <c r="H17" s="227">
        <f>IF(ISNUMBER(IF(D_I="SI",Datos!L17,Datos!L17+Datos!AF17)),IF(D_I="SI",Datos!L17,Datos!L17+Datos!AF17)," - ")</f>
        <v>267</v>
      </c>
      <c r="I17" s="1044" t="str">
        <f>IF(ISNUMBER(Datos!AS17/Datos!BM17),Datos!AS17/Datos!BM17," - ")</f>
        <v xml:space="preserve"> - </v>
      </c>
      <c r="J17" s="1045" t="str">
        <f>IF(ISNUMBER((Datos!BY17+Datos!BZ17)/Datos!CN17),(Datos!BY17+Datos!BZ17)/Datos!CN17," - ")</f>
        <v xml:space="preserve"> - </v>
      </c>
      <c r="K17" s="230">
        <f t="shared" si="3"/>
        <v>-3.7313432835820895E-3</v>
      </c>
      <c r="L17" s="1025">
        <f>IF(ISNUMBER(NºAsuntos!I17/NºAsuntos!G17),(NºAsuntos!I17/NºAsuntos!G17)*11," - ")</f>
        <v>5.5730550284629974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3084</v>
      </c>
      <c r="D18" s="1049">
        <f>SUBTOTAL(9,D15:D17)</f>
        <v>3058</v>
      </c>
      <c r="E18" s="1050">
        <f>SUBTOTAL(9,E15:E17)</f>
        <v>2682</v>
      </c>
      <c r="F18" s="1050">
        <f>SUBTOTAL(9,F15:F17)</f>
        <v>2660</v>
      </c>
      <c r="G18" s="1052" t="str">
        <f ca="1">INDIRECT(CONCATENATE("G",ROW()-1))</f>
        <v>37</v>
      </c>
      <c r="H18" s="1053">
        <f ca="1">SUMIF(G$14:G17,G18,H$14:H17)</f>
        <v>267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3173</v>
      </c>
      <c r="D19" s="1071">
        <f>SUBTOTAL(9,D9:D18)</f>
        <v>3147</v>
      </c>
      <c r="E19" s="1072">
        <f>SUBTOTAL(9,E9:E18)</f>
        <v>2728</v>
      </c>
      <c r="F19" s="1072">
        <f>SUBTOTAL(9,F9:F18)</f>
        <v>2693</v>
      </c>
      <c r="G19" s="1073"/>
      <c r="H19" s="1074">
        <f ca="1">SUMIF(B9:B18,"TOTAL",H9:H18)</f>
        <v>267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u4ERkEXiI+OlNcQmXTTvA6tMdQ6ll4GmzxaYKh5NPNpWxRSKAsNZ5m54GkiBXxqB/TVvUEy6PgrMzsE3ib4AnQ==" saltValue="XXuYP1g69CKkcdZm0H6U0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mbsAaU+SauDikjivrbL8FhGKPvgJjGCEvpNCRjOYnZx7L8Q1s/cQzVAUvDcyrtnfqOJ7VgtDmtmaOPgJEBqUA==" saltValue="4uKh1/ASTHmJXfhRIX+n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5340</v>
      </c>
      <c r="J9" s="181">
        <v>2370</v>
      </c>
      <c r="K9" s="181">
        <v>1969</v>
      </c>
      <c r="L9" s="181">
        <v>5741</v>
      </c>
      <c r="M9" s="181">
        <v>499</v>
      </c>
      <c r="N9" s="181">
        <v>847</v>
      </c>
      <c r="O9" s="181">
        <v>1016</v>
      </c>
      <c r="P9" s="181">
        <v>766</v>
      </c>
      <c r="Q9" s="181">
        <v>588</v>
      </c>
      <c r="R9" s="181">
        <v>6784</v>
      </c>
      <c r="S9" s="181">
        <v>4688</v>
      </c>
      <c r="T9" s="181">
        <v>2457</v>
      </c>
      <c r="U9" s="181">
        <v>2354</v>
      </c>
      <c r="V9" s="181">
        <v>4791</v>
      </c>
      <c r="W9" s="181">
        <v>445</v>
      </c>
      <c r="X9" s="188">
        <v>1143</v>
      </c>
      <c r="Y9" s="191">
        <v>139</v>
      </c>
      <c r="Z9" s="181">
        <v>111</v>
      </c>
      <c r="AA9" s="181">
        <v>88</v>
      </c>
      <c r="AB9" s="181">
        <v>165</v>
      </c>
      <c r="AC9" s="181">
        <v>0</v>
      </c>
      <c r="AD9" s="181">
        <v>0</v>
      </c>
      <c r="AE9" s="181">
        <v>0</v>
      </c>
      <c r="AF9" s="188">
        <v>0</v>
      </c>
      <c r="AG9" s="191">
        <v>219</v>
      </c>
      <c r="AH9" s="181">
        <v>107</v>
      </c>
      <c r="AI9" s="181">
        <v>153</v>
      </c>
      <c r="AJ9" s="192">
        <v>173</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4907</v>
      </c>
      <c r="AZ9" s="123">
        <f>IF(ISNUMBER(IF(J_V="SI",T9,T9+AH9)),IF(J_V="SI",T9,T9+AH9)," - ")</f>
        <v>2564</v>
      </c>
      <c r="BA9" s="124">
        <f>IF(ISNUMBER(IF(J_V="SI",U9,U9+AI9)),IF(J_V="SI",U9,U9+AI9)," - ")</f>
        <v>2507</v>
      </c>
      <c r="BB9" s="124">
        <f>IF(ISNUMBER(IF(J_V="SI",V9,V9+AJ9)),IF(J_V="SI",V9,V9+AJ9)," - ")</f>
        <v>4964</v>
      </c>
      <c r="BC9" s="125">
        <f>IF(ISNUMBER(X9),X9," - ")</f>
        <v>1143</v>
      </c>
      <c r="BD9" s="126">
        <f>IF(ISNUMBER(BA9/AZ9),BA9/AZ9," - ")</f>
        <v>0.97776911076443063</v>
      </c>
      <c r="BE9" s="127">
        <f>IF(ISNUMBER(BB9/BA9),BB9/BA9, " - ")</f>
        <v>1.9800558436378142</v>
      </c>
      <c r="BF9" s="127">
        <f>IF(ISNUMBER(BC9/BA9),BC9/BA9, " - ")</f>
        <v>0.45592341443956919</v>
      </c>
      <c r="BG9" s="196">
        <f>IF(ISNUMBER((AY9+AZ9)/BA9),(AY9+AZ9)/BA9," - ")</f>
        <v>2.980055843637814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89</v>
      </c>
      <c r="J10" s="181">
        <v>46</v>
      </c>
      <c r="K10" s="181">
        <v>33</v>
      </c>
      <c r="L10" s="181">
        <v>102</v>
      </c>
      <c r="M10" s="181">
        <v>11</v>
      </c>
      <c r="N10" s="181">
        <v>10</v>
      </c>
      <c r="O10" s="181">
        <v>14</v>
      </c>
      <c r="P10" s="181">
        <v>3</v>
      </c>
      <c r="Q10" s="181">
        <v>5</v>
      </c>
      <c r="R10" s="181">
        <v>49</v>
      </c>
      <c r="S10" s="181">
        <v>51</v>
      </c>
      <c r="T10" s="181">
        <v>30</v>
      </c>
      <c r="U10" s="181">
        <v>29</v>
      </c>
      <c r="V10" s="181">
        <v>52</v>
      </c>
      <c r="W10" s="181">
        <v>14</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51</v>
      </c>
      <c r="AZ10" s="129">
        <f t="shared" si="0"/>
        <v>30</v>
      </c>
      <c r="BA10" s="129">
        <f t="shared" si="0"/>
        <v>29</v>
      </c>
      <c r="BB10" s="129">
        <f t="shared" si="0"/>
        <v>52</v>
      </c>
      <c r="BC10" s="125">
        <f t="shared" si="0"/>
        <v>14</v>
      </c>
      <c r="BD10" s="126">
        <f>IF(ISNUMBER(BA10/AZ10),BA10/AZ10," - ")</f>
        <v>0.96666666666666667</v>
      </c>
      <c r="BE10" s="127">
        <f>IF(ISNUMBER(BB10/BA10),BB10/BA10, " - ")</f>
        <v>1.7931034482758621</v>
      </c>
      <c r="BF10" s="127">
        <f>IF(ISNUMBER(BC10/BA10),BC10/BA10, " - ")</f>
        <v>0.48275862068965519</v>
      </c>
      <c r="BG10" s="196">
        <f>IF(ISNUMBER((AY10+AZ10)/BA10),(AY10+AZ10)/BA10," - ")</f>
        <v>2.7931034482758621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v>
      </c>
      <c r="J12" s="183">
        <v>0</v>
      </c>
      <c r="K12" s="183">
        <v>0</v>
      </c>
      <c r="L12" s="183">
        <v>2</v>
      </c>
      <c r="M12" s="183">
        <v>0</v>
      </c>
      <c r="N12" s="183">
        <v>1</v>
      </c>
      <c r="O12" s="181">
        <v>2</v>
      </c>
      <c r="P12" s="183">
        <v>2</v>
      </c>
      <c r="Q12" s="183">
        <v>3</v>
      </c>
      <c r="R12" s="183">
        <v>30</v>
      </c>
      <c r="S12" s="183">
        <v>2</v>
      </c>
      <c r="T12" s="183">
        <v>0</v>
      </c>
      <c r="U12" s="183">
        <v>0</v>
      </c>
      <c r="V12" s="183">
        <v>2</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2</v>
      </c>
      <c r="AZ12" s="127">
        <f t="shared" si="1"/>
        <v>0</v>
      </c>
      <c r="BA12" s="127">
        <f t="shared" si="1"/>
        <v>0</v>
      </c>
      <c r="BB12" s="127">
        <f t="shared" si="1"/>
        <v>2</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5431</v>
      </c>
      <c r="J13" s="184">
        <f t="shared" si="6"/>
        <v>2416</v>
      </c>
      <c r="K13" s="184">
        <f t="shared" si="6"/>
        <v>2002</v>
      </c>
      <c r="L13" s="184">
        <f t="shared" si="6"/>
        <v>5845</v>
      </c>
      <c r="M13" s="184">
        <f t="shared" si="6"/>
        <v>510</v>
      </c>
      <c r="N13" s="184">
        <f t="shared" si="6"/>
        <v>858</v>
      </c>
      <c r="O13" s="184">
        <f t="shared" si="6"/>
        <v>1032</v>
      </c>
      <c r="P13" s="184">
        <f t="shared" si="6"/>
        <v>771</v>
      </c>
      <c r="Q13" s="184">
        <f t="shared" si="6"/>
        <v>596</v>
      </c>
      <c r="R13" s="184">
        <f t="shared" si="6"/>
        <v>6863</v>
      </c>
      <c r="S13" s="184">
        <f t="shared" si="6"/>
        <v>4741</v>
      </c>
      <c r="T13" s="184">
        <f t="shared" si="6"/>
        <v>2487</v>
      </c>
      <c r="U13" s="184">
        <f t="shared" si="6"/>
        <v>2383</v>
      </c>
      <c r="V13" s="184">
        <f t="shared" si="6"/>
        <v>4845</v>
      </c>
      <c r="W13" s="184">
        <f t="shared" si="6"/>
        <v>459</v>
      </c>
      <c r="X13" s="184">
        <f t="shared" si="6"/>
        <v>1152</v>
      </c>
      <c r="Y13" s="184">
        <f t="shared" si="6"/>
        <v>139</v>
      </c>
      <c r="Z13" s="184">
        <f t="shared" si="6"/>
        <v>111</v>
      </c>
      <c r="AA13" s="184">
        <f t="shared" si="6"/>
        <v>88</v>
      </c>
      <c r="AB13" s="184">
        <f t="shared" si="6"/>
        <v>165</v>
      </c>
      <c r="AC13" s="184">
        <f t="shared" si="6"/>
        <v>0</v>
      </c>
      <c r="AD13" s="184">
        <f t="shared" si="6"/>
        <v>0</v>
      </c>
      <c r="AE13" s="184">
        <f t="shared" si="6"/>
        <v>0</v>
      </c>
      <c r="AF13" s="184">
        <f>SUBTOTAL(9,AF9:AF12)</f>
        <v>0</v>
      </c>
      <c r="AG13" s="184">
        <f t="shared" ref="AG13:AT13" si="7">SUBTOTAL(9,AG8:AG12)</f>
        <v>219</v>
      </c>
      <c r="AH13" s="184">
        <f t="shared" si="7"/>
        <v>107</v>
      </c>
      <c r="AI13" s="184">
        <f t="shared" si="7"/>
        <v>153</v>
      </c>
      <c r="AJ13" s="184">
        <f t="shared" si="7"/>
        <v>173</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4960</v>
      </c>
      <c r="AZ13" s="184">
        <f>SUBTOTAL(9,AZ8:AZ12)</f>
        <v>2594</v>
      </c>
      <c r="BA13" s="184">
        <f>SUBTOTAL(9,BA8:BA12)</f>
        <v>2536</v>
      </c>
      <c r="BB13" s="184">
        <f>SUBTOTAL(9,BB8:BB12)</f>
        <v>5018</v>
      </c>
      <c r="BC13" s="184">
        <f>SUBTOTAL(9,BC8:BC12)</f>
        <v>1157</v>
      </c>
      <c r="BD13" s="205">
        <f>IF(ISNUMBER(BA13/AZ13),BA13/AZ13," - ")</f>
        <v>0.97764070932922131</v>
      </c>
      <c r="BE13" s="206">
        <f>IF(ISNUMBER(BB13/BA13),BB13/BA13, " - ")</f>
        <v>1.9787066246056781</v>
      </c>
      <c r="BF13" s="206">
        <f>IF(ISNUMBER(BC13/BA13),BC13/BA13, " - ")</f>
        <v>0.45623028391167192</v>
      </c>
      <c r="BG13" s="207">
        <f>IF(ISNUMBER((AY13+AZ13)/BA13),(AY13+AZ13)/BA13," - ")</f>
        <v>2.9787066246056781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2788</v>
      </c>
      <c r="J15" s="183">
        <v>2156</v>
      </c>
      <c r="K15" s="183">
        <v>2133</v>
      </c>
      <c r="L15" s="183">
        <v>2837</v>
      </c>
      <c r="M15" s="183">
        <v>359</v>
      </c>
      <c r="N15" s="183">
        <v>1058</v>
      </c>
      <c r="O15" s="181">
        <v>65</v>
      </c>
      <c r="P15" s="183">
        <v>95</v>
      </c>
      <c r="Q15" s="183">
        <v>154</v>
      </c>
      <c r="R15" s="183">
        <v>302</v>
      </c>
      <c r="S15" s="183">
        <v>2337</v>
      </c>
      <c r="T15" s="183">
        <v>1907</v>
      </c>
      <c r="U15" s="183">
        <v>1939</v>
      </c>
      <c r="V15" s="183">
        <v>2342</v>
      </c>
      <c r="W15" s="183">
        <v>269</v>
      </c>
      <c r="X15" s="189">
        <v>1183</v>
      </c>
      <c r="Y15" s="202">
        <v>0</v>
      </c>
      <c r="Z15" s="183">
        <v>0</v>
      </c>
      <c r="AA15" s="183">
        <v>0</v>
      </c>
      <c r="AB15" s="183">
        <v>0</v>
      </c>
      <c r="AC15" s="183">
        <v>0</v>
      </c>
      <c r="AD15" s="183">
        <v>5</v>
      </c>
      <c r="AE15" s="183">
        <v>5</v>
      </c>
      <c r="AF15" s="189">
        <v>0</v>
      </c>
      <c r="AG15" s="202">
        <v>0</v>
      </c>
      <c r="AH15" s="183">
        <v>0</v>
      </c>
      <c r="AI15" s="183">
        <v>0</v>
      </c>
      <c r="AJ15" s="203">
        <v>0</v>
      </c>
      <c r="AK15" s="182">
        <v>0</v>
      </c>
      <c r="AL15" s="183">
        <v>4</v>
      </c>
      <c r="AM15" s="183">
        <v>4</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2337</v>
      </c>
      <c r="AZ15" s="129">
        <f t="shared" si="9"/>
        <v>1907</v>
      </c>
      <c r="BA15" s="129">
        <f t="shared" si="9"/>
        <v>1939</v>
      </c>
      <c r="BB15" s="129">
        <f t="shared" si="9"/>
        <v>2342</v>
      </c>
      <c r="BC15" s="125">
        <f>IF(ISNUMBER(W15),W15," - ")</f>
        <v>269</v>
      </c>
      <c r="BD15" s="126">
        <f>IF(ISNUMBER(BA15/AZ15),BA15/AZ15," - ")</f>
        <v>1.0167802831672785</v>
      </c>
      <c r="BE15" s="127">
        <f>IF(ISNUMBER(BB15/BA15),BB15/BA15, " - ")</f>
        <v>1.2078390923156266</v>
      </c>
      <c r="BF15" s="127">
        <f>IF(ISNUMBER(BC15/BA15),BC15/BA15, " - ")</f>
        <v>0.13873130479628676</v>
      </c>
      <c r="BG15" s="196">
        <f t="shared" ref="BG15:BG16" si="10">IF(ISNUMBER((AY15+AZ15)/BA15),(AY15+AZ15)/BA15," - ")</f>
        <v>2.1887570912841672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0</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268</v>
      </c>
      <c r="J17" s="183">
        <v>526</v>
      </c>
      <c r="K17" s="183">
        <v>527</v>
      </c>
      <c r="L17" s="183">
        <v>267</v>
      </c>
      <c r="M17" s="183">
        <v>68</v>
      </c>
      <c r="N17" s="183">
        <v>212</v>
      </c>
      <c r="O17" s="183">
        <v>6</v>
      </c>
      <c r="P17" s="183">
        <v>3</v>
      </c>
      <c r="Q17" s="183">
        <v>6</v>
      </c>
      <c r="R17" s="183">
        <v>4</v>
      </c>
      <c r="S17" s="183">
        <v>130</v>
      </c>
      <c r="T17" s="183">
        <v>433</v>
      </c>
      <c r="U17" s="183">
        <v>408</v>
      </c>
      <c r="V17" s="183">
        <v>155</v>
      </c>
      <c r="W17" s="183">
        <v>65</v>
      </c>
      <c r="X17" s="189">
        <v>180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130</v>
      </c>
      <c r="AZ17" s="129">
        <f t="shared" si="14"/>
        <v>433</v>
      </c>
      <c r="BA17" s="129">
        <f t="shared" si="14"/>
        <v>408</v>
      </c>
      <c r="BB17" s="129">
        <f t="shared" si="14"/>
        <v>155</v>
      </c>
      <c r="BC17" s="125">
        <f>IF(ISNUMBER(W17),W17," - ")</f>
        <v>65</v>
      </c>
      <c r="BD17" s="126">
        <f>IF(ISNUMBER(BA17/AZ17),BA17/AZ17," - ")</f>
        <v>0.94226327944572752</v>
      </c>
      <c r="BE17" s="127">
        <f>IF(ISNUMBER(BB17/BA17),BB17/BA17, " - ")</f>
        <v>0.37990196078431371</v>
      </c>
      <c r="BF17" s="127">
        <f>IF(ISNUMBER(BC17/BA17),BC17/BA17, " - ")</f>
        <v>0.15931372549019607</v>
      </c>
      <c r="BG17" s="196">
        <f>IF(ISNUMBER((AY17+AZ17)/BA17),(AY17+AZ17)/BA17," - ")</f>
        <v>1.3799019607843137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3058</v>
      </c>
      <c r="J18" s="184">
        <f t="shared" si="15"/>
        <v>2682</v>
      </c>
      <c r="K18" s="184">
        <f t="shared" si="15"/>
        <v>2660</v>
      </c>
      <c r="L18" s="184">
        <f t="shared" si="15"/>
        <v>3106</v>
      </c>
      <c r="M18" s="184">
        <f t="shared" si="15"/>
        <v>427</v>
      </c>
      <c r="N18" s="184">
        <f t="shared" si="15"/>
        <v>1270</v>
      </c>
      <c r="O18" s="184">
        <f t="shared" si="15"/>
        <v>71</v>
      </c>
      <c r="P18" s="184">
        <f t="shared" si="15"/>
        <v>98</v>
      </c>
      <c r="Q18" s="184">
        <f t="shared" si="15"/>
        <v>160</v>
      </c>
      <c r="R18" s="184">
        <f t="shared" si="15"/>
        <v>306</v>
      </c>
      <c r="S18" s="184">
        <f t="shared" si="15"/>
        <v>2469</v>
      </c>
      <c r="T18" s="184">
        <f t="shared" si="15"/>
        <v>2340</v>
      </c>
      <c r="U18" s="184">
        <f t="shared" si="15"/>
        <v>2347</v>
      </c>
      <c r="V18" s="184">
        <f t="shared" si="15"/>
        <v>2499</v>
      </c>
      <c r="W18" s="184">
        <f t="shared" si="15"/>
        <v>334</v>
      </c>
      <c r="X18" s="184">
        <f t="shared" si="15"/>
        <v>1363</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2469</v>
      </c>
      <c r="AZ18" s="184">
        <f>SUBTOTAL(9,AZ14:AZ17)</f>
        <v>2340</v>
      </c>
      <c r="BA18" s="184">
        <f>SUBTOTAL(9,BA14:BA17)</f>
        <v>2347</v>
      </c>
      <c r="BB18" s="184">
        <f>SUBTOTAL(9,BB14:BB17)</f>
        <v>2499</v>
      </c>
      <c r="BC18" s="184">
        <f>SUBTOTAL(9,BC14:BC17)</f>
        <v>334</v>
      </c>
      <c r="BD18" s="205">
        <f>IF(ISNUMBER(BA18/AZ18),BA18/AZ18," - ")</f>
        <v>1.002991452991453</v>
      </c>
      <c r="BE18" s="206">
        <f>IF(ISNUMBER(BB18/BA18),BB18/BA18, " - ")</f>
        <v>1.0647635279079677</v>
      </c>
      <c r="BF18" s="206">
        <f>IF(ISNUMBER(BC18/BA18),BC18/BA18, " - ")</f>
        <v>0.14230933106092886</v>
      </c>
      <c r="BG18" s="207">
        <f>IF(ISNUMBER((AY18+AZ18)/BA18),(AY18+AZ18)/BA18," - ")</f>
        <v>2.0489987217724757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8489</v>
      </c>
      <c r="J19" s="134">
        <f t="shared" si="18"/>
        <v>5098</v>
      </c>
      <c r="K19" s="134">
        <f t="shared" si="18"/>
        <v>4662</v>
      </c>
      <c r="L19" s="134">
        <f t="shared" si="18"/>
        <v>8951</v>
      </c>
      <c r="M19" s="134">
        <f t="shared" si="18"/>
        <v>937</v>
      </c>
      <c r="N19" s="134">
        <f t="shared" si="18"/>
        <v>2128</v>
      </c>
      <c r="O19" s="134">
        <f t="shared" si="18"/>
        <v>1103</v>
      </c>
      <c r="P19" s="134">
        <f t="shared" si="18"/>
        <v>869</v>
      </c>
      <c r="Q19" s="134">
        <f t="shared" si="18"/>
        <v>756</v>
      </c>
      <c r="R19" s="134">
        <f t="shared" si="18"/>
        <v>7169</v>
      </c>
      <c r="S19" s="134">
        <f t="shared" si="18"/>
        <v>7210</v>
      </c>
      <c r="T19" s="134">
        <f t="shared" si="18"/>
        <v>4827</v>
      </c>
      <c r="U19" s="134">
        <f t="shared" si="18"/>
        <v>4730</v>
      </c>
      <c r="V19" s="134">
        <f t="shared" si="18"/>
        <v>7344</v>
      </c>
      <c r="W19" s="134">
        <f t="shared" si="18"/>
        <v>793</v>
      </c>
      <c r="X19" s="134">
        <f t="shared" si="18"/>
        <v>2515</v>
      </c>
      <c r="Y19" s="134">
        <f t="shared" si="18"/>
        <v>139</v>
      </c>
      <c r="Z19" s="134">
        <f t="shared" si="18"/>
        <v>111</v>
      </c>
      <c r="AA19" s="134">
        <f t="shared" si="18"/>
        <v>88</v>
      </c>
      <c r="AB19" s="134">
        <f t="shared" si="18"/>
        <v>165</v>
      </c>
      <c r="AC19" s="134">
        <f t="shared" si="18"/>
        <v>0</v>
      </c>
      <c r="AD19" s="134">
        <f t="shared" si="18"/>
        <v>5</v>
      </c>
      <c r="AE19" s="134">
        <f t="shared" si="18"/>
        <v>5</v>
      </c>
      <c r="AF19" s="134">
        <f t="shared" si="18"/>
        <v>0</v>
      </c>
      <c r="AG19" s="134">
        <f t="shared" si="18"/>
        <v>219</v>
      </c>
      <c r="AH19" s="134">
        <f t="shared" si="18"/>
        <v>107</v>
      </c>
      <c r="AI19" s="134">
        <f t="shared" si="18"/>
        <v>153</v>
      </c>
      <c r="AJ19" s="134">
        <f t="shared" si="18"/>
        <v>173</v>
      </c>
      <c r="AK19" s="134">
        <f t="shared" si="18"/>
        <v>0</v>
      </c>
      <c r="AL19" s="134">
        <f t="shared" si="18"/>
        <v>4</v>
      </c>
      <c r="AM19" s="134">
        <f t="shared" si="18"/>
        <v>4</v>
      </c>
      <c r="AN19" s="210">
        <f t="shared" si="18"/>
        <v>0</v>
      </c>
      <c r="AO19" s="211">
        <v>10</v>
      </c>
      <c r="AP19" s="211">
        <v>10</v>
      </c>
      <c r="AQ19" s="211">
        <v>10</v>
      </c>
      <c r="AR19" s="211">
        <v>10</v>
      </c>
      <c r="AS19" s="153">
        <f t="shared" si="18"/>
        <v>0</v>
      </c>
      <c r="AT19" s="153">
        <f t="shared" si="18"/>
        <v>0</v>
      </c>
      <c r="AU19" s="211"/>
      <c r="AV19" s="212"/>
      <c r="AW19" s="211"/>
      <c r="AX19" s="212"/>
      <c r="AY19" s="133">
        <f>SUBTOTAL(9,AY9:AY18)</f>
        <v>7429</v>
      </c>
      <c r="AZ19" s="134">
        <f>SUBTOTAL(9,AZ9:AZ18)</f>
        <v>4934</v>
      </c>
      <c r="BA19" s="134">
        <f>SUBTOTAL(9,BA9:BA18)</f>
        <v>4883</v>
      </c>
      <c r="BB19" s="134">
        <f>SUBTOTAL(9,BB9:BB18)</f>
        <v>7517</v>
      </c>
      <c r="BC19" s="135">
        <f>SUBTOTAL(9,BC9:BC18)</f>
        <v>1491</v>
      </c>
      <c r="BD19" s="213">
        <f>IF(ISNUMBER(BA19/AZ19),BA19/AZ19," - ")</f>
        <v>0.98966355897851643</v>
      </c>
      <c r="BE19" s="210">
        <f>IF(ISNUMBER(BB19/BA19),BB19/BA19, " - ")</f>
        <v>1.5394224861765309</v>
      </c>
      <c r="BF19" s="210">
        <f>IF(ISNUMBER(BC19/BA19),BC19/BA19, " - ")</f>
        <v>0.30534507474912964</v>
      </c>
      <c r="BG19" s="135">
        <f>IF(ISNUMBER((AY19+AZ19)/BA19),(AY19+AZ19)/BA19," - ")</f>
        <v>2.5318451771451977</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8iB4KEDlSA9zq9DylR2JWxyGJg2YWKMRbuqqIk3XG/1Yvy8OCTAp8iMdsC6FWBw7TVU0SbBazZ4QD3OKl0ryg==" saltValue="IdvTdHHgHbzO0byKkq9J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SsQkLk3Zn78oVUmA5kLGPR03WOEl26cwK5S/UztR7608v6JxO0N3lmV0boll/3ACA5lxBZeLIrygrPN+mwB3Q==" saltValue="KC3z+jqEmGmLg9/pHCrm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111</v>
      </c>
      <c r="O9" s="334"/>
      <c r="P9" s="334"/>
      <c r="Q9" s="226">
        <f>IF(ISNUMBER(Datos!P9),Datos!P9,0)</f>
        <v>766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588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165</v>
      </c>
      <c r="AI9" s="334" t="str">
        <f>IF(ISNUMBER(Datos!CD9),Datos!CD9,"-")</f>
        <v>-</v>
      </c>
      <c r="AJ9" s="334" t="str">
        <f>IF(ISNUMBER(Datos!EN9),Datos!EN9," - ")</f>
        <v xml:space="preserve"> - </v>
      </c>
      <c r="AK9" s="334"/>
      <c r="AL9" s="479"/>
      <c r="AM9" s="335">
        <f>IF(ISNUMBER(Datos!R9),Datos!R9," - ")</f>
        <v>6784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499</v>
      </c>
      <c r="BD9" s="229">
        <f>IF(ISNUMBER(Datos!N9),Datos!N9," - ")</f>
        <v>847</v>
      </c>
      <c r="BE9" s="229" t="str">
        <f>IF(ISNUMBER(Datos!BW9),Datos!BW9," - ")</f>
        <v xml:space="preserve"> - </v>
      </c>
      <c r="BF9" s="228" t="str">
        <f>IF(ISNUMBER(Datos!BX9),Datos!BX9," - ")</f>
        <v xml:space="preserve"> - </v>
      </c>
      <c r="BG9" s="243">
        <f>IF(ISNUMBER(IF(J_V="SI",Datos!K9/Datos!J9,(Datos!K9+Datos!AA9)/(Datos!J9+Datos!Z9))),IF(J_V="SI",Datos!K9/Datos!J9,(Datos!K9+Datos!AA9)/(Datos!J9+Datos!Z9))," - ")</f>
        <v>0.82910116888351471</v>
      </c>
      <c r="BH9" s="260">
        <f>IF(ISNUMBER(((IF(J_V="SI",Datos!L9/Datos!K9,(Datos!L9+Datos!AB9)/(Datos!K9+Datos!AA9)))*11)/factor_trimestre),((IF(J_V="SI",Datos!L9/Datos!K9,(Datos!L9+Datos!AB9)/(Datos!K9+Datos!AA9)))*11)/factor_trimestre," - ")</f>
        <v>8.6135148274185713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2.6945201332122314E-2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89</v>
      </c>
      <c r="G10" s="333">
        <f>IF(ISNUMBER(Datos!I10),Datos!I10," - ")</f>
        <v>89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5</v>
      </c>
      <c r="AD10" s="334"/>
      <c r="AE10" s="484"/>
      <c r="AF10" s="332">
        <f>IF(ISNUMBER(Datos!L10),Datos!L10,"-")</f>
        <v>102</v>
      </c>
      <c r="AG10" s="334"/>
      <c r="AH10" s="334"/>
      <c r="AI10" s="334"/>
      <c r="AJ10" s="334"/>
      <c r="AK10" s="334"/>
      <c r="AL10" s="479"/>
      <c r="AM10" s="335">
        <f>IF(ISNUMBER(Datos!R10),Datos!R10," - ")</f>
        <v>49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10</v>
      </c>
      <c r="BE10" s="229" t="str">
        <f>IF(ISNUMBER(Datos!BW10),Datos!BW10," - ")</f>
        <v xml:space="preserve"> - </v>
      </c>
      <c r="BF10" s="228" t="str">
        <f>IF(ISNUMBER(Datos!BX10),Datos!BX10," - ")</f>
        <v xml:space="preserve"> - </v>
      </c>
      <c r="BG10" s="243">
        <f>IF(ISNUMBER(Datos!K10/Datos!J10),Datos!K10/Datos!J10," - ")</f>
        <v>0.71739130434782605</v>
      </c>
      <c r="BH10" s="260">
        <f>IF(ISNUMBER(((Datos!L10/Datos!K10)*11)/factor_trimestre),((Datos!L10/Datos!K10)*11)/factor_trimestre," - ")</f>
        <v>9.2727272727272734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-3.9215686274509803E-2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-3.2258064516129031E-2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89</v>
      </c>
      <c r="G13" s="898">
        <f t="shared" si="0"/>
        <v>89</v>
      </c>
      <c r="H13" s="899">
        <f t="shared" si="0"/>
        <v>0</v>
      </c>
      <c r="I13" s="898">
        <f t="shared" si="0"/>
        <v>0</v>
      </c>
      <c r="J13" s="867">
        <f t="shared" si="0"/>
        <v>0</v>
      </c>
      <c r="K13" s="867">
        <f t="shared" si="0"/>
        <v>0</v>
      </c>
      <c r="L13" s="899">
        <f t="shared" si="0"/>
        <v>0</v>
      </c>
      <c r="M13" s="899">
        <f t="shared" si="0"/>
        <v>0</v>
      </c>
      <c r="N13" s="899">
        <f t="shared" si="0"/>
        <v>111</v>
      </c>
      <c r="O13" s="900">
        <f t="shared" si="0"/>
        <v>0</v>
      </c>
      <c r="P13" s="900">
        <f t="shared" si="0"/>
        <v>0</v>
      </c>
      <c r="Q13" s="899">
        <f t="shared" si="0"/>
        <v>771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596</v>
      </c>
      <c r="AD13" s="899">
        <f t="shared" si="1"/>
        <v>0</v>
      </c>
      <c r="AE13" s="899">
        <f t="shared" si="1"/>
        <v>0</v>
      </c>
      <c r="AF13" s="899">
        <f t="shared" si="1"/>
        <v>102</v>
      </c>
      <c r="AG13" s="899">
        <f t="shared" si="1"/>
        <v>0</v>
      </c>
      <c r="AH13" s="899">
        <f t="shared" si="1"/>
        <v>165</v>
      </c>
      <c r="AI13" s="899">
        <f t="shared" si="1"/>
        <v>0</v>
      </c>
      <c r="AJ13" s="899">
        <f t="shared" si="1"/>
        <v>0</v>
      </c>
      <c r="AK13" s="899">
        <f t="shared" si="1"/>
        <v>0</v>
      </c>
      <c r="AL13" s="899">
        <f t="shared" si="1"/>
        <v>0</v>
      </c>
      <c r="AM13" s="899">
        <f t="shared" si="1"/>
        <v>6863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510</v>
      </c>
      <c r="BD13" s="899">
        <f t="shared" si="1"/>
        <v>858</v>
      </c>
      <c r="BE13" s="899">
        <f t="shared" si="1"/>
        <v>0</v>
      </c>
      <c r="BF13" s="899">
        <f t="shared" si="1"/>
        <v>0</v>
      </c>
      <c r="BG13" s="899">
        <f>IF(ISNUMBER(Datos!K13/Datos!J13),Datos!K13/Datos!J13," - ")</f>
        <v>0.82864238410596025</v>
      </c>
      <c r="BH13" s="903">
        <f>IF(ISNUMBER(((Datos!L13/Datos!K13)*11)/factor_trimestre),((Datos!L13/Datos!K13)*11)/factor_trimestre," - ")</f>
        <v>8.7587412587412583</v>
      </c>
      <c r="BI13" s="899">
        <f>IF(ISNUMBER('Resol  Asuntos'!D13/NºAsuntos!G13),'Resol  Asuntos'!D13/NºAsuntos!G13," - ")</f>
        <v>0.24401913875598086</v>
      </c>
      <c r="BJ13" s="899" t="str">
        <f>IF(ISNUMBER(Datos!CI13/Datos!CJ13),Datos!CI13/Datos!CJ13," - ")</f>
        <v xml:space="preserve"> - </v>
      </c>
      <c r="BK13" s="899">
        <f>SUBTOTAL(9,BK8:BK12)</f>
        <v>0</v>
      </c>
      <c r="BL13" s="899">
        <f>IF(ISNUMBER((I13-AB13+L13)/(F13)),(I13-AB13+L13)/(F13)," - ")</f>
        <v>-0.3707865168539326</v>
      </c>
      <c r="BM13" s="904">
        <f>SUBTOTAL(9,BM9:BM12)</f>
        <v>-4.4528549458516517E-2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2814</v>
      </c>
      <c r="G15" s="598">
        <f>IF(ISNUMBER(IF(D_I="SI",Datos!I15,Datos!I15+Datos!AC15)),IF(D_I="SI",Datos!I15,Datos!I15+Datos!AC15)," - ")</f>
        <v>2788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2133</v>
      </c>
      <c r="AC15" s="226">
        <f>IF(ISNUMBER(Datos!Q15),Datos!Q15," - ")</f>
        <v>154</v>
      </c>
      <c r="AD15" s="334"/>
      <c r="AE15" s="484"/>
      <c r="AF15" s="596">
        <f>IF(ISNUMBER(IF(D_I="SI",Datos!L15,Datos!L15+Datos!AF15)),IF(D_I="SI",Datos!L15,Datos!L15+Datos!AF15)," - ")</f>
        <v>2837</v>
      </c>
      <c r="AG15" s="334"/>
      <c r="AH15" s="334"/>
      <c r="AI15" s="334"/>
      <c r="AJ15" s="334"/>
      <c r="AK15" s="334"/>
      <c r="AL15" s="479"/>
      <c r="AM15" s="335">
        <f>IF(ISNUMBER(Datos!R15),Datos!R15," - ")</f>
        <v>302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359</v>
      </c>
      <c r="BD15" s="229">
        <f>IF(ISNUMBER(Datos!N15),Datos!N15," - ")</f>
        <v>1058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0.98933209647495357</v>
      </c>
      <c r="BH15" s="260">
        <f>IF(ISNUMBER(((IF(D_I="SI",Datos!L15/Datos!K15,(Datos!L15+Datos!AF15)/(Datos!K15+Datos!AE15)))*11)/factor_trimestre),((IF(D_I="SI",Datos!L15/Datos!K15,(Datos!L15+Datos!AF15)/(Datos!K15+Datos!AE15)))*11)/factor_trimestre," - ")</f>
        <v>3.9901547116736995</v>
      </c>
      <c r="BI15" s="243">
        <f>IF(ISNUMBER('Resol  Asuntos'!D15/NºAsuntos!G15),'Resol  Asuntos'!D15/NºAsuntos!G15," - ")</f>
        <v>0.1683075480543835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527</v>
      </c>
      <c r="AC17" s="226">
        <f>IF(ISNUMBER(Datos!Q17),Datos!Q17," - ")</f>
        <v>6</v>
      </c>
      <c r="AD17" s="334"/>
      <c r="AE17" s="484"/>
      <c r="AF17" s="332">
        <f>IF(ISNUMBER(Datos!L17),Datos!L17,"-")</f>
        <v>267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68</v>
      </c>
      <c r="BD17" s="229">
        <f>IF(ISNUMBER(Datos!N17),Datos!N17," - ")</f>
        <v>212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1.0019011406844107</v>
      </c>
      <c r="BH17" s="260">
        <f>IF(ISNUMBER(((IF(D_I="SI",Datos!L17/Datos!K17,(Datos!L17+Datos!AF17)/(Datos!K17+Datos!AE17)))*11)/factor_trimestre),((IF(D_I="SI",Datos!L17/Datos!K17,(Datos!L17+Datos!AF17)/(Datos!K17+Datos!AE17)))*11)/factor_trimestre," - ")</f>
        <v>1.5199240986717266</v>
      </c>
      <c r="BI17" s="243">
        <f>IF(ISNUMBER('Resol  Asuntos'!D17/NºAsuntos!G17),'Resol  Asuntos'!D17/NºAsuntos!G17," - ")</f>
        <v>0.12903225806451613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2816</v>
      </c>
      <c r="G18" s="898">
        <f>SUBTOTAL(9,G15:G17)</f>
        <v>3058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2660</v>
      </c>
      <c r="AC18" s="899">
        <f t="shared" si="4"/>
        <v>160</v>
      </c>
      <c r="AD18" s="899">
        <f t="shared" si="4"/>
        <v>0</v>
      </c>
      <c r="AE18" s="899">
        <f t="shared" si="4"/>
        <v>0</v>
      </c>
      <c r="AF18" s="899">
        <f t="shared" si="4"/>
        <v>3106</v>
      </c>
      <c r="AG18" s="899">
        <f t="shared" si="4"/>
        <v>0</v>
      </c>
      <c r="AH18" s="899">
        <f t="shared" si="4"/>
        <v>0</v>
      </c>
      <c r="AI18" s="899">
        <f t="shared" si="4"/>
        <v>0</v>
      </c>
      <c r="AJ18" s="899">
        <f t="shared" si="4"/>
        <v>0</v>
      </c>
      <c r="AK18" s="899">
        <f t="shared" si="4"/>
        <v>0</v>
      </c>
      <c r="AL18" s="899">
        <f t="shared" si="4"/>
        <v>0</v>
      </c>
      <c r="AM18" s="899">
        <f t="shared" si="4"/>
        <v>306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427</v>
      </c>
      <c r="BD18" s="899">
        <f t="shared" si="4"/>
        <v>1270</v>
      </c>
      <c r="BE18" s="899">
        <f t="shared" si="4"/>
        <v>0</v>
      </c>
      <c r="BF18" s="899">
        <f t="shared" si="4"/>
        <v>0</v>
      </c>
      <c r="BG18" s="899">
        <f>IF(ISNUMBER(Datos!K18/Datos!J18),Datos!K18/Datos!J18," - ")</f>
        <v>0.99179716629381054</v>
      </c>
      <c r="BH18" s="903">
        <f>IF(ISNUMBER(((Datos!L18/Datos!K18)*11)/factor_trimestre),((Datos!L18/Datos!K18)*11)/factor_trimestre," - ")</f>
        <v>3.5030075187969922</v>
      </c>
      <c r="BI18" s="899">
        <f>SUBTOTAL(9,BI15:BI17)</f>
        <v>0.29733980611889965</v>
      </c>
      <c r="BJ18" s="899">
        <f>SUBTOTAL(9,BJ15:BJ17)</f>
        <v>0</v>
      </c>
      <c r="BK18" s="899">
        <f>SUBTOTAL(9,BK15:BK17)</f>
        <v>0</v>
      </c>
      <c r="BL18" s="899">
        <f>IF(ISNUMBER((I18-AB18+L18)/(F18)),(I18-AB18+L18)/(F18)," - ")</f>
        <v>-0.94460227272727271</v>
      </c>
      <c r="BM18" s="905">
        <f>IF(ISNUMBER((Datos!P18-Datos!Q18)/(Datos!R18-Datos!P18+Datos!Q18)),(Datos!P18-Datos!Q18)/(Datos!R18-Datos!P18+Datos!Q18)," - ")</f>
        <v>-0.16847826086956522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2905</v>
      </c>
      <c r="G19" s="820">
        <f t="shared" si="6"/>
        <v>3147</v>
      </c>
      <c r="H19" s="822">
        <f t="shared" si="6"/>
        <v>0</v>
      </c>
      <c r="I19" s="820">
        <f t="shared" si="6"/>
        <v>0</v>
      </c>
      <c r="J19" s="822">
        <f t="shared" si="6"/>
        <v>0</v>
      </c>
      <c r="K19" s="822">
        <f t="shared" si="6"/>
        <v>0</v>
      </c>
      <c r="L19" s="881">
        <f t="shared" si="6"/>
        <v>0</v>
      </c>
      <c r="M19" s="881">
        <f t="shared" si="6"/>
        <v>0</v>
      </c>
      <c r="N19" s="881">
        <f t="shared" si="6"/>
        <v>111</v>
      </c>
      <c r="O19" s="881">
        <f t="shared" si="6"/>
        <v>0</v>
      </c>
      <c r="P19" s="881">
        <f t="shared" si="6"/>
        <v>0</v>
      </c>
      <c r="Q19" s="822">
        <f t="shared" si="6"/>
        <v>869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2693</v>
      </c>
      <c r="AC19" s="821">
        <f t="shared" si="7"/>
        <v>756</v>
      </c>
      <c r="AD19" s="821">
        <f t="shared" si="7"/>
        <v>0</v>
      </c>
      <c r="AE19" s="821">
        <f t="shared" si="7"/>
        <v>0</v>
      </c>
      <c r="AF19" s="828">
        <f t="shared" si="7"/>
        <v>3208</v>
      </c>
      <c r="AG19" s="828">
        <f t="shared" si="7"/>
        <v>0</v>
      </c>
      <c r="AH19" s="828">
        <f t="shared" si="7"/>
        <v>165</v>
      </c>
      <c r="AI19" s="828">
        <f t="shared" si="7"/>
        <v>0</v>
      </c>
      <c r="AJ19" s="821">
        <f t="shared" si="7"/>
        <v>0</v>
      </c>
      <c r="AK19" s="828">
        <f t="shared" si="7"/>
        <v>0</v>
      </c>
      <c r="AL19" s="828">
        <f t="shared" si="7"/>
        <v>0</v>
      </c>
      <c r="AM19" s="828">
        <f t="shared" si="7"/>
        <v>7169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937</v>
      </c>
      <c r="BD19" s="820">
        <f t="shared" si="7"/>
        <v>2128</v>
      </c>
      <c r="BE19" s="820">
        <f t="shared" si="7"/>
        <v>0</v>
      </c>
      <c r="BF19" s="830">
        <f t="shared" si="7"/>
        <v>0</v>
      </c>
      <c r="BG19" s="915">
        <f>IF(ISNUMBER(Datos!K19/Datos!J19),Datos!K19/Datos!J19," - ")</f>
        <v>0.91447626520204006</v>
      </c>
      <c r="BH19" s="915">
        <f>IF(ISNUMBER(((Datos!L19/Datos!K19)*11)/factor_trimestre),((Datos!L19/Datos!K19)*11)/factor_trimestre," - ")</f>
        <v>5.7599742599742605</v>
      </c>
      <c r="BI19" s="813">
        <f>IF(ISNUMBER(Datos!J19/Datos!I19),Datos!J19/Datos!I19," - ")</f>
        <v>0.6005418777241136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-0.9270223752151463</v>
      </c>
      <c r="BM19" s="889">
        <f>IF(ISNUMBER((Datos!P19-Datos!Q19+R19)/(Datos!R19-Datos!P19+Datos!Q19-R19)),(Datos!P19-Datos!Q19+R19)/(Datos!R19-Datos!P19+Datos!Q19-R19)," - ")</f>
        <v>1.6014739229024945E-2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1509.3937524715013</v>
      </c>
      <c r="G21" s="552">
        <f>IF(ISNUMBER(STDEV(G8:G18)),STDEV(G8:G18),"-")</f>
        <v>1456.6792371692541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1189.1478741799383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234.84691062173124</v>
      </c>
      <c r="BD21" s="551"/>
      <c r="BE21" s="551">
        <f>IF(ISNUMBER(STDEV(BE8:BE18)),STDEV(BE8:BE18),"-")</f>
        <v>0</v>
      </c>
      <c r="BF21" s="556">
        <f>IF(ISNUMBER(STDEV(BF8:BF18)),STDEV(BF8:BF18),"-")</f>
        <v>0</v>
      </c>
      <c r="BG21" s="775">
        <f>IF(ISNUMBER(STDEV(BG8:BG18)),STDEV(BG8:BG18),"-")</f>
        <v>0.11829081460513616</v>
      </c>
      <c r="BH21" s="776">
        <f>IF(ISNUMBER(STDEV(BH8:BH18)),STDEV(BH8:BH18),"-")</f>
        <v>3.3310028654130877</v>
      </c>
      <c r="BI21" s="249">
        <f>IF(ISNUMBER(STDEV(BI8:BI18)),STDEV(BI8:BI18),"-")</f>
        <v>7.5452316080445253E-2</v>
      </c>
      <c r="BJ21" s="230" t="str">
        <f>IF(ISNUMBER(BL21/BM21),BL21/BM21," - ")</f>
        <v xml:space="preserve"> - </v>
      </c>
      <c r="BK21" s="575"/>
      <c r="BL21" s="559">
        <f>IF(ISNUMBER(STDEV(BL8:BL18)),STDEV(BL8:BL18),"-")</f>
        <v>0.40574901212972342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dnbIQB2bfsbT9q9ICGBm/dycu5gXu1YodGVPkfR/mpAJ71xR36SphhNjseOc323Ucy4J8ld/pl0EJXCB78EJQ==" saltValue="5zOSsufdEaln4bKVwI+x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BENIDORM</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766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588</v>
      </c>
      <c r="AA9" s="332" t="str">
        <f>IF(ISNUMBER(IF(J_V="SI",Datos!L9,Datos!L9+Datos!AB9)-IF(Monitorios="SI",Datos!CD9,0)),
                          IF(J_V="SI",Datos!L9,Datos!L9+Datos!AB9)-IF(Monitorios="SI",Datos!CD9,0),
                          " - ")</f>
        <v xml:space="preserve"> - </v>
      </c>
      <c r="AB9" s="334"/>
      <c r="AC9" s="334"/>
      <c r="AD9" s="484"/>
      <c r="AE9" s="484">
        <f>IF(ISNUMBER(Datos!R9),Datos!R9," - ")</f>
        <v>6784</v>
      </c>
      <c r="AF9" s="229" t="str">
        <f>IF(ISNUMBER(Datos!BV9),Datos!BV9," - ")</f>
        <v xml:space="preserve"> - </v>
      </c>
      <c r="AG9" s="225" t="str">
        <f>IF(ISNUMBER(Datos!DV9),Datos!DV9," - ")</f>
        <v xml:space="preserve"> - </v>
      </c>
      <c r="AH9" s="298"/>
      <c r="AI9" s="227"/>
      <c r="AJ9" s="225">
        <f>IF(ISNUMBER(Datos!M9),Datos!M9," - ")</f>
        <v>499</v>
      </c>
      <c r="AK9" s="229">
        <f>IF(ISNUMBER(Datos!N9),Datos!N9," - ")</f>
        <v>847</v>
      </c>
      <c r="AL9" s="229" t="str">
        <f>IF(ISNUMBER(Datos!BW9),Datos!BW9," - ")</f>
        <v xml:space="preserve"> - </v>
      </c>
      <c r="AM9" s="228" t="str">
        <f>IF(ISNUMBER(Datos!BX9),Datos!BX9," - ")</f>
        <v xml:space="preserve"> - </v>
      </c>
      <c r="AN9" s="243"/>
      <c r="AO9" s="260">
        <f>IF(ISNUMBER(((NºAsuntos!I9/NºAsuntos!G9)*11)/factor_trimestre),((NºAsuntos!I9/NºAsuntos!G9)*11)/factor_trimestre," - ")</f>
        <v>8.6135148274185713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2.6945201332122314E-2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89</v>
      </c>
      <c r="G10" s="225">
        <f>IF(ISNUMBER(Datos!I10),Datos!I10," - ")</f>
        <v>89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5</v>
      </c>
      <c r="AA10" s="332">
        <f>IF(ISNUMBER(Datos!L10),Datos!L10,"-")</f>
        <v>102</v>
      </c>
      <c r="AB10" s="334"/>
      <c r="AC10" s="334"/>
      <c r="AD10" s="484"/>
      <c r="AE10" s="484">
        <f>IF(ISNUMBER(Datos!R10),Datos!R10," - ")</f>
        <v>49</v>
      </c>
      <c r="AF10" s="229" t="str">
        <f>IF(ISNUMBER(Datos!BV10),Datos!BV10," - ")</f>
        <v xml:space="preserve"> - </v>
      </c>
      <c r="AG10" s="225" t="str">
        <f>IF(ISNUMBER(Datos!DV10),Datos!DV10," - ")</f>
        <v xml:space="preserve"> - </v>
      </c>
      <c r="AH10" s="298"/>
      <c r="AI10" s="227"/>
      <c r="AJ10" s="225">
        <f>IF(ISNUMBER(Datos!M10),Datos!M10," - ")</f>
        <v>11</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9.2727272727272734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-3.9215686274509803E-2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30</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-3.2258064516129031E-2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89</v>
      </c>
      <c r="G13" s="898">
        <f>SUBTOTAL(9,G8:G12)</f>
        <v>89</v>
      </c>
      <c r="H13" s="908"/>
      <c r="I13" s="898">
        <f t="shared" ref="I13:N13" si="0">SUBTOTAL(9,I8:I12)</f>
        <v>0</v>
      </c>
      <c r="J13" s="867">
        <f t="shared" si="0"/>
        <v>0</v>
      </c>
      <c r="K13" s="908">
        <f t="shared" si="0"/>
        <v>0</v>
      </c>
      <c r="L13" s="908">
        <f t="shared" si="0"/>
        <v>0</v>
      </c>
      <c r="M13" s="908">
        <f t="shared" si="0"/>
        <v>0</v>
      </c>
      <c r="N13" s="908">
        <f t="shared" si="0"/>
        <v>771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596</v>
      </c>
      <c r="AA13" s="900">
        <f t="shared" si="2"/>
        <v>102</v>
      </c>
      <c r="AB13" s="900">
        <f t="shared" si="2"/>
        <v>0</v>
      </c>
      <c r="AC13" s="900">
        <f t="shared" si="2"/>
        <v>0</v>
      </c>
      <c r="AD13" s="900">
        <f t="shared" si="2"/>
        <v>0</v>
      </c>
      <c r="AE13" s="900">
        <f t="shared" si="2"/>
        <v>6863</v>
      </c>
      <c r="AF13" s="908">
        <f t="shared" si="2"/>
        <v>0</v>
      </c>
      <c r="AG13" s="908">
        <f t="shared" si="2"/>
        <v>0</v>
      </c>
      <c r="AH13" s="908">
        <f t="shared" si="2"/>
        <v>0</v>
      </c>
      <c r="AI13" s="908">
        <f t="shared" si="2"/>
        <v>0</v>
      </c>
      <c r="AJ13" s="908">
        <f t="shared" si="2"/>
        <v>510</v>
      </c>
      <c r="AK13" s="908">
        <f t="shared" si="2"/>
        <v>858</v>
      </c>
      <c r="AL13" s="908">
        <f t="shared" si="2"/>
        <v>0</v>
      </c>
      <c r="AM13" s="908">
        <f t="shared" si="2"/>
        <v>0</v>
      </c>
      <c r="AN13" s="908">
        <f t="shared" si="2"/>
        <v>0</v>
      </c>
      <c r="AO13" s="904">
        <f>IF(ISNUMBER(((NºAsuntos!I13/NºAsuntos!G13)*11)/factor_trimestre),((NºAsuntos!I13/NºAsuntos!G13)*11)/factor_trimestre," - ")</f>
        <v>8.6267942583732058</v>
      </c>
      <c r="AP13" s="910" t="str">
        <f>IF(ISNUMBER(Datos!CI13/Datos!CJ13),Datos!CI13/Datos!CJ13," - ")</f>
        <v xml:space="preserve"> - </v>
      </c>
      <c r="AQ13" s="928">
        <f t="shared" ref="AQ13:AV13" si="3">SUBTOTAL(9,AQ9:AQ12)</f>
        <v>0</v>
      </c>
      <c r="AR13" s="928">
        <f t="shared" si="3"/>
        <v>-4.4528549458516517E-2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2814</v>
      </c>
      <c r="G15" s="225">
        <f>IF(ISNUMBER(IF(D_I="SI",Datos!I15,Datos!I15+Datos!AC15)),IF(D_I="SI",Datos!I15,Datos!I15+Datos!AC15)," - ")</f>
        <v>2788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2133</v>
      </c>
      <c r="Z15" s="619">
        <f>IF(ISNUMBER(Datos!Q15),Datos!Q15," - ")</f>
        <v>154</v>
      </c>
      <c r="AA15" s="332">
        <f>IF(ISNUMBER(IF(D_I="SI",Datos!L15,Datos!L15+Datos!AF15)),IF(D_I="SI",Datos!L15,Datos!L15+Datos!AF15)," - ")</f>
        <v>2837</v>
      </c>
      <c r="AB15" s="334"/>
      <c r="AC15" s="334"/>
      <c r="AD15" s="484"/>
      <c r="AE15" s="484">
        <f>IF(ISNUMBER(Datos!R15),Datos!R15," - ")</f>
        <v>302</v>
      </c>
      <c r="AF15" s="229" t="str">
        <f>IF(ISNUMBER(Datos!BV15),Datos!BV15," - ")</f>
        <v xml:space="preserve"> - </v>
      </c>
      <c r="AG15" s="225"/>
      <c r="AH15" s="298"/>
      <c r="AI15" s="227"/>
      <c r="AJ15" s="225">
        <f>IF(ISNUMBER(Datos!M15),Datos!M15," - ")</f>
        <v>359</v>
      </c>
      <c r="AK15" s="229">
        <f>IF(ISNUMBER(Datos!N15),Datos!N15," - ")</f>
        <v>1058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3.9901547116736995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527</v>
      </c>
      <c r="Z17" s="619">
        <f>IF(ISNUMBER(Datos!Q17),Datos!Q17," - ")</f>
        <v>6</v>
      </c>
      <c r="AA17" s="332">
        <f>IF(ISNUMBER(Datos!L17),Datos!L17,"-")</f>
        <v>267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68</v>
      </c>
      <c r="AK17" s="229">
        <f>IF(ISNUMBER(Datos!N17),Datos!N17," - ")</f>
        <v>212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1.5199240986717266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2816</v>
      </c>
      <c r="G18" s="898">
        <f>SUBTOTAL(9,G15:G17)</f>
        <v>3058</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2660</v>
      </c>
      <c r="Z18" s="932">
        <f t="shared" si="5"/>
        <v>160</v>
      </c>
      <c r="AA18" s="932">
        <f t="shared" si="5"/>
        <v>3106</v>
      </c>
      <c r="AB18" s="932">
        <f t="shared" si="5"/>
        <v>0</v>
      </c>
      <c r="AC18" s="932">
        <f t="shared" si="5"/>
        <v>0</v>
      </c>
      <c r="AD18" s="932">
        <f t="shared" si="5"/>
        <v>0</v>
      </c>
      <c r="AE18" s="932">
        <f t="shared" si="5"/>
        <v>306</v>
      </c>
      <c r="AF18" s="932">
        <f t="shared" si="5"/>
        <v>0</v>
      </c>
      <c r="AG18" s="932">
        <f t="shared" si="5"/>
        <v>0</v>
      </c>
      <c r="AH18" s="932">
        <f t="shared" si="5"/>
        <v>0</v>
      </c>
      <c r="AI18" s="932">
        <f t="shared" si="5"/>
        <v>0</v>
      </c>
      <c r="AJ18" s="932">
        <f t="shared" si="5"/>
        <v>427</v>
      </c>
      <c r="AK18" s="932">
        <f t="shared" si="5"/>
        <v>1270</v>
      </c>
      <c r="AL18" s="932">
        <f t="shared" si="5"/>
        <v>0</v>
      </c>
      <c r="AM18" s="932">
        <f t="shared" si="5"/>
        <v>0</v>
      </c>
      <c r="AN18" s="932">
        <f t="shared" si="5"/>
        <v>0</v>
      </c>
      <c r="AO18" s="934">
        <f>IF(ISNUMBER(((NºAsuntos!I18/NºAsuntos!G18)*11)/factor_trimestre),((NºAsuntos!I18/NºAsuntos!G18)*11)/factor_trimestre," - ")</f>
        <v>3.5030075187969922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2905</v>
      </c>
      <c r="G19" s="820">
        <f t="shared" si="7"/>
        <v>3147</v>
      </c>
      <c r="H19" s="821">
        <f t="shared" si="7"/>
        <v>0</v>
      </c>
      <c r="I19" s="820">
        <f t="shared" si="7"/>
        <v>0</v>
      </c>
      <c r="J19" s="822">
        <f t="shared" si="7"/>
        <v>0</v>
      </c>
      <c r="K19" s="820">
        <f t="shared" si="7"/>
        <v>0</v>
      </c>
      <c r="L19" s="823">
        <f t="shared" si="7"/>
        <v>0</v>
      </c>
      <c r="M19" s="820">
        <f t="shared" si="7"/>
        <v>0</v>
      </c>
      <c r="N19" s="821">
        <f t="shared" si="7"/>
        <v>869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2693</v>
      </c>
      <c r="Z19" s="827">
        <f t="shared" si="8"/>
        <v>756</v>
      </c>
      <c r="AA19" s="828">
        <f t="shared" si="8"/>
        <v>3208</v>
      </c>
      <c r="AB19" s="828">
        <f t="shared" si="8"/>
        <v>0</v>
      </c>
      <c r="AC19" s="828">
        <f t="shared" si="8"/>
        <v>0</v>
      </c>
      <c r="AD19" s="829">
        <f t="shared" si="8"/>
        <v>0</v>
      </c>
      <c r="AE19" s="829">
        <f t="shared" si="8"/>
        <v>7169</v>
      </c>
      <c r="AF19" s="830">
        <f t="shared" si="8"/>
        <v>0</v>
      </c>
      <c r="AG19" s="831">
        <f t="shared" si="8"/>
        <v>0</v>
      </c>
      <c r="AH19" s="832">
        <f t="shared" si="8"/>
        <v>0</v>
      </c>
      <c r="AI19" s="830">
        <f t="shared" si="8"/>
        <v>0</v>
      </c>
      <c r="AJ19" s="820">
        <f t="shared" si="8"/>
        <v>937</v>
      </c>
      <c r="AK19" s="820">
        <f t="shared" si="8"/>
        <v>2128</v>
      </c>
      <c r="AL19" s="820">
        <f t="shared" si="8"/>
        <v>0</v>
      </c>
      <c r="AM19" s="833">
        <f t="shared" si="8"/>
        <v>0</v>
      </c>
      <c r="AN19" s="823">
        <f>IF(ISNUMBER(Datos!K19/Datos!J19),Datos!K19/Datos!J19," - ")</f>
        <v>0.91447626520204006</v>
      </c>
      <c r="AO19" s="823">
        <f>IF(ISNUMBER(FIND("06",Criterios!A8,1)),(IF(ISNUMBER(((Datos!R19/Datos!Q19)*11)/factor_trimestre),((Datos!R19/Datos!Q19)*11)/factor_trimestre," - ")),(IF(ISNUMBER(((Datos!L19/Datos!K19)*11)/factor_trimestre),((Datos!L19/Datos!K19)*11)/factor_trimestre," - ")))</f>
        <v>5.7599742599742605</v>
      </c>
      <c r="AP19" s="834" t="str">
        <f>IF(ISNUMBER(Datos!CI19/Datos!CJ19),Datos!CI19/Datos!CJ19," - ")</f>
        <v xml:space="preserve"> - </v>
      </c>
      <c r="AQ19" s="834">
        <f>IF(OR(ISNUMBER(FIND("01",Criterios!A8,1)),ISNUMBER(FIND("02",Criterios!A8,1)),ISNUMBER(FIND("03",Criterios!A8,1)),ISNUMBER(FIND("04",Criterios!A8,1))),(J19-Y19+K19)/(F19-K19),(I19-Y19+K19)/(F19-K19))</f>
        <v>-0.9270223752151463</v>
      </c>
      <c r="AR19" s="834">
        <f>IF(ISNUMBER((Datos!P19-Datos!Q19+O19)/(Datos!R19-Datos!P19+Datos!Q19-O19)),(Datos!P19-Datos!Q19+O19)/(Datos!R19-Datos!P19+Datos!Q19-O19)," - ")</f>
        <v>1.6014739229024945E-2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1509.3937524715013</v>
      </c>
      <c r="G21" s="552">
        <f>IF(ISNUMBER(STDEV(G8:G18)),STDEV(G8:G18),"-")</f>
        <v>1456.6792371692541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234.84691062173124</v>
      </c>
      <c r="AK21" s="252"/>
      <c r="AL21" s="252">
        <f>IF(ISNUMBER(STDEV(AL8:AL18)),STDEV(AL8:AL18),"-")</f>
        <v>0</v>
      </c>
      <c r="AM21" s="254">
        <f>IF(ISNUMBER(STDEV(AM8:AM18)),STDEV(AM8:AM18),"-")</f>
        <v>0</v>
      </c>
      <c r="AN21" s="539">
        <f>IF(ISNUMBER(STDEV(AN8:AN18)),STDEV(AN8:AN18),"-")</f>
        <v>0</v>
      </c>
      <c r="AO21" s="540">
        <f>IF(ISNUMBER(STDEV(AO8:AO18)),STDEV(AO8:AO18),"-")</f>
        <v>3.3090589184421586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iQMgvve4TVrIWIV8r1rn9B8EOBUsf5PCzkoTE2P+Ye2u8I/6l5afjMkI4O13FXp1L0emVVydWUMpT1dihvX5Q==" saltValue="2Kb7N/VzpjtREbsocdtq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Vjh7frfgRj8XyISXmGTqT6bkKJI1VN6S4J2pYSWkU4IlGw4ceZcCzf4tU3WWkjX10wxLPbxru1YX/1ks+fC4Q==" saltValue="pttTJ0BRRuTL31KGG11v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6UNWVB+owCgzCaUWx2Ga6AY9pHAdBMuVm+fmNLyEVrSVYmS/GyhX6PWK4VvbrfCwY+it1VV6+RMPALpVRWgQ==" saltValue="TrQzfqIqB1KExQZfxuQL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0.24401913875598086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0.17254758775365514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u4OH3sjvZ8X10Ye59gS7wAkO29NyDtnBKo3V5FC/OyhWBdq/jt/QNN0z4QlD9bHdgJIzQsARXde1UTXNvJaGA==" saltValue="REOSnwvd1MrXZuY6c+nh2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IRdZlzRCM6h889mpMa8AXVNOl86WCdk2qHdi7dnwyp3YHmV9Ftu72qAJinixyFOkYvLscTTy9dDjMCcYi7o5dg==" saltValue="tzPk319GuSS1ggCotbRg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89</v>
      </c>
      <c r="G10" s="684">
        <f>IF(ISNUMBER(Datos!I10),Datos!I10," - ")</f>
        <v>89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102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9.2727272727272734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-3.2258064516129031E-2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89</v>
      </c>
      <c r="G13" s="938">
        <f t="shared" si="0"/>
        <v>89</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3</v>
      </c>
      <c r="AE13" s="939">
        <f t="shared" si="1"/>
        <v>0</v>
      </c>
      <c r="AF13" s="939">
        <f t="shared" si="1"/>
        <v>102</v>
      </c>
      <c r="AG13" s="939">
        <f t="shared" si="1"/>
        <v>0</v>
      </c>
      <c r="AH13" s="939">
        <f t="shared" si="1"/>
        <v>30</v>
      </c>
      <c r="AI13" s="939">
        <f t="shared" si="1"/>
        <v>0</v>
      </c>
      <c r="AJ13" s="939">
        <f t="shared" si="1"/>
        <v>0</v>
      </c>
      <c r="AK13" s="939">
        <f t="shared" si="1"/>
        <v>0</v>
      </c>
      <c r="AL13" s="939">
        <f t="shared" si="1"/>
        <v>11</v>
      </c>
      <c r="AM13" s="939">
        <f t="shared" si="1"/>
        <v>11</v>
      </c>
      <c r="AN13" s="939">
        <f t="shared" si="1"/>
        <v>0</v>
      </c>
      <c r="AO13" s="939">
        <f t="shared" si="1"/>
        <v>0</v>
      </c>
      <c r="AP13" s="944">
        <f>IF(ISNUMBER(((Datos!L13/Datos!K13)*11)/factor_trimestre),((Datos!L13/Datos!K13)*11)/factor_trimestre," - ")</f>
        <v>8.7587412587412583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-0.3707865168539326</v>
      </c>
      <c r="AU13" s="939" t="str">
        <f>IF(ISNUMBER((DatosP!#REF!-DatosP!#REF!+DatosP!#REF!)/(DatosP!#REF!+DatosP!#REF!-DatosP!#REF!-DatosP!#REF!)),(DatosP!#REF!-DatosP!#REF!+DatosP!#REF!)/(DatosP!#REF!+DatosP!#REF!-DatosP!#REF!-DatosP!#REF!)," - ")</f>
        <v xml:space="preserve"> - </v>
      </c>
      <c r="AV13" s="945">
        <f>SUBTOTAL(9,AV9:AV12)</f>
        <v>-3.2258064516129031E-2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3.5030075187969922</v>
      </c>
      <c r="AQ18" s="944">
        <f>IF(ISNUMBER(((Datos!M18/Datos!L18)*11)/factor_trimestre),((Datos!M18/Datos!L18)*11)/factor_trimestre," - ")</f>
        <v>0.41242755956213784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-0.16847826086956522</v>
      </c>
      <c r="AW18" s="946">
        <f>IF(ISNUMBER((Datos!Q18-Datos!R18)/(Datos!S18-Datos!Q18+Datos!R18)),(Datos!Q18-Datos!R18)/(Datos!S18-Datos!Q18+Datos!R18)," - ")</f>
        <v>-5.583173996175908E-2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89</v>
      </c>
      <c r="G19" s="951">
        <f t="shared" si="4"/>
        <v>89</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3</v>
      </c>
      <c r="AE19" s="957">
        <f t="shared" si="5"/>
        <v>0</v>
      </c>
      <c r="AF19" s="958">
        <f t="shared" si="5"/>
        <v>102</v>
      </c>
      <c r="AG19" s="958">
        <f t="shared" si="5"/>
        <v>0</v>
      </c>
      <c r="AH19" s="958">
        <f t="shared" si="5"/>
        <v>30</v>
      </c>
      <c r="AI19" s="958">
        <f t="shared" si="5"/>
        <v>0</v>
      </c>
      <c r="AJ19" s="959">
        <f t="shared" si="5"/>
        <v>0</v>
      </c>
      <c r="AK19" s="959">
        <f t="shared" si="5"/>
        <v>0</v>
      </c>
      <c r="AL19" s="951">
        <f t="shared" si="5"/>
        <v>11</v>
      </c>
      <c r="AM19" s="951">
        <f t="shared" si="5"/>
        <v>11</v>
      </c>
      <c r="AN19" s="951">
        <f t="shared" si="5"/>
        <v>0</v>
      </c>
      <c r="AO19" s="951">
        <f t="shared" si="5"/>
        <v>0</v>
      </c>
      <c r="AP19" s="951">
        <f>IF(ISNUMBER(((Datos!L19/Datos!K19)*11)/factor_trimestre),((Datos!L19/Datos!K19)*11)/factor_trimestre," - ")</f>
        <v>5.7599742599742605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-0.3707865168539326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1.6014739229024945E-2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51.384173957876691</v>
      </c>
      <c r="G21" s="737">
        <f>IF(ISNUMBER(STDEV(G8:G18)),STDEV(G8:G18),"-")</f>
        <v>51.384173957876691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6.3508529610858835</v>
      </c>
      <c r="AM21" s="736"/>
      <c r="AN21" s="736">
        <f>IF(ISNUMBER(STDEV(AN8:AN18)),STDEV(AN8:AN18),"-")</f>
        <v>0</v>
      </c>
      <c r="AO21" s="742">
        <f>IF(ISNUMBER(STDEV(AO8:AO18)),STDEV(AO8:AO18),"-")</f>
        <v>0</v>
      </c>
      <c r="AP21" s="779">
        <f>IF(ISNUMBER(STDEV(AP8:AP18)),STDEV(AP8:AP18),"-")</f>
        <v>3.1931328609652061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FXctGLVtT6BH7HwGRBJWn/Hg2HFz3s18QSonRpwXCgFoeO1/Z2/3v7MBYHHGH0I3DmW+rTmupS2V85zNYQksw==" saltValue="BkgvlcIDlmNMYotB5WOx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